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670" windowHeight="8190" activeTab="7"/>
  </bookViews>
  <sheets>
    <sheet name="งบทดลอง" sheetId="1" r:id="rId1"/>
    <sheet name="รายงานรับ-จ่าย" sheetId="2" r:id="rId2"/>
    <sheet name="ตารางรายได้" sheetId="3" r:id="rId3"/>
    <sheet name="รายละเอียดประกอบงบ" sheetId="4" r:id="rId4"/>
    <sheet name="งบกระทบยอด" sheetId="5" r:id="rId5"/>
    <sheet name="ใบผ่านรายการบัญชี" sheetId="6" r:id="rId6"/>
    <sheet name="ใบผ่านใหม่" sheetId="7" r:id="rId7"/>
    <sheet name="รายงานกระแสเงินสด" sheetId="8" r:id="rId8"/>
    <sheet name="รายรับจริงประกอบงบทดลองและรายรั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<sst xmlns="http://schemas.openxmlformats.org/spreadsheetml/2006/main" count="1637" uniqueCount="663">
  <si>
    <t>องค์การบริหารส่วนตำบลท่าช้าง</t>
  </si>
  <si>
    <t>งบทดลอง</t>
  </si>
  <si>
    <t>รายการ</t>
  </si>
  <si>
    <t>รหัสบัญชี</t>
  </si>
  <si>
    <t>เงินสด</t>
  </si>
  <si>
    <t>เงินฝากธนาคาร (ออมทรัพย์) เลขที่ 304-2-34804-2</t>
  </si>
  <si>
    <t>เงินฝากธนาคาร (ออมทรัพย์) เลขที่ 304-2-29182-3</t>
  </si>
  <si>
    <t>เงินฝากธนาคาร (กระแสรายวัน) เลขที่ 731-6-00792-3</t>
  </si>
  <si>
    <t>เงินอุดหนุนทั่วไปฝากคลังจังหวัด</t>
  </si>
  <si>
    <t>ลูกหนี้เงินยืมเงินงบประมาณ</t>
  </si>
  <si>
    <t>ลูกหนี้เงินยืมสะสม</t>
  </si>
  <si>
    <t>รายได้ค้างรับ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</si>
  <si>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</si>
  <si>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</si>
  <si>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</si>
  <si>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</si>
  <si>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</si>
  <si>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</si>
  <si>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</si>
  <si>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</si>
  <si>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รายรับ (หมายเหตุ1)</t>
  </si>
  <si>
    <t>เงินรับฝาก (หมายเหตุ 2)</t>
  </si>
  <si>
    <t>รายจ่ายค้างจ่าย</t>
  </si>
  <si>
    <t>รายจ่ายผัดส่งใบสำคัญ</t>
  </si>
  <si>
    <t>เงินสะสม</t>
  </si>
  <si>
    <t>เงินทุนสำรองเงินสะสม</t>
  </si>
  <si>
    <t>อำเภอบ้านลาด    จังหวัดเพชรบุรี</t>
  </si>
  <si>
    <t>รายงานรับ - จ่ายเงินสด</t>
  </si>
  <si>
    <t>จนถึงปัจจุบัน</t>
  </si>
  <si>
    <t>ประมาณการ</t>
  </si>
  <si>
    <t>บาท</t>
  </si>
  <si>
    <t>เกิดขึ้นจริง</t>
  </si>
  <si>
    <t>รหัส</t>
  </si>
  <si>
    <t>บัญชี</t>
  </si>
  <si>
    <t>เดือนนี้</t>
  </si>
  <si>
    <t>ยอดยกมา</t>
  </si>
  <si>
    <t>รายได้จากทรัพย์สิน</t>
  </si>
  <si>
    <t>รายได้จากสาธรรณูปโภคและการพาณิชย์</t>
  </si>
  <si>
    <t>รายได้จากทุน</t>
  </si>
  <si>
    <t>ภาษีจัดสรร</t>
  </si>
  <si>
    <t>เงินอุดหนุนเฉพาะกิจ</t>
  </si>
  <si>
    <t>เงินรับฝาก</t>
  </si>
  <si>
    <t>เงินยืมตามงบประมาณ</t>
  </si>
  <si>
    <t>เงินยืมเงินสะสม</t>
  </si>
  <si>
    <t>ภาษีอากร</t>
  </si>
  <si>
    <t>รวมรายรับ</t>
  </si>
  <si>
    <t>รายจ่าย</t>
  </si>
  <si>
    <t>ค่าวัสดุ (ข้อบัญญัติ)</t>
  </si>
  <si>
    <t>ค่าวัสดุ(เงินอุดหนุน)</t>
  </si>
  <si>
    <t>ค่าครุภัณฑ์(เงินอุดหนุน)</t>
  </si>
  <si>
    <t>ค่าที่ดินและสิ่งก่อสร้าง(ข้อบัญัติ)</t>
  </si>
  <si>
    <t>ค่าที่ดินและสิ่งก่อสร้าง(เงินอุดหนุน)</t>
  </si>
  <si>
    <t>รายจ่ายอื่น</t>
  </si>
  <si>
    <t>เงินรับฝาก(หมายเหตุ 2)</t>
  </si>
  <si>
    <t>รวมรายจ่าย</t>
  </si>
  <si>
    <t>สูงกว่า</t>
  </si>
  <si>
    <t>รายรับ                          รายจ่าย</t>
  </si>
  <si>
    <t>ต่ำกว่า</t>
  </si>
  <si>
    <t>ยอดยกไป</t>
  </si>
  <si>
    <t>(ลงชื่อ).........................................</t>
  </si>
  <si>
    <t>(ลงชื่อ)............................................</t>
  </si>
  <si>
    <t>(ลงชื่อ)........................................</t>
  </si>
  <si>
    <t>ค่าครุภัณฑ์(ข้อบัญญัติ)</t>
  </si>
  <si>
    <t>เงินประกันสังคม</t>
  </si>
  <si>
    <t>ประกันสัญญา</t>
  </si>
  <si>
    <t>เงินรายได้แผ่นดินรอนำส่งคลังจังหวัด</t>
  </si>
  <si>
    <t>เงินทุนโครงการเศรษฐกิจชุมชน</t>
  </si>
  <si>
    <t>จ่ายขาดเงินสะสม</t>
  </si>
  <si>
    <t>รวม</t>
  </si>
  <si>
    <r>
      <t>รายจ่ายค้างจ่าย</t>
    </r>
    <r>
      <rPr>
        <sz val="14"/>
        <rFont val="Angsana New"/>
        <family val="0"/>
      </rPr>
      <t xml:space="preserve">   </t>
    </r>
    <r>
      <rPr>
        <b/>
        <sz val="14"/>
        <rFont val="Angsana New"/>
        <family val="1"/>
      </rPr>
      <t xml:space="preserve"> (หมายเหตุ  3)</t>
    </r>
    <r>
      <rPr>
        <sz val="14"/>
        <rFont val="Angsana New"/>
        <family val="0"/>
      </rPr>
      <t xml:space="preserve"> </t>
    </r>
  </si>
  <si>
    <t>หมวดที่จ่าย</t>
  </si>
  <si>
    <t>รับ</t>
  </si>
  <si>
    <t>จ่าย</t>
  </si>
  <si>
    <t>คงเหลือ</t>
  </si>
  <si>
    <t>ชื่อองค์กรปกครองส่วนท้องถิ่น  อบต.ท่าช้าง  อ.บ้านลาด  จ.เพชรบุรี</t>
  </si>
  <si>
    <t>1.  รายได้ท้องถิ่นจัดหาเงิน</t>
  </si>
  <si>
    <t xml:space="preserve">     1.1 รายได้จากภาษีอากรที่ท้องที่จัดเอง</t>
  </si>
  <si>
    <t xml:space="preserve">            1.1.1 ภาษีโรงเรือนและที่ดิน</t>
  </si>
  <si>
    <t xml:space="preserve">            1.1.2 ภาษีบำรุงท้องที่</t>
  </si>
  <si>
    <t xml:space="preserve">            1.1.4 อากรฆ่าสัตว์</t>
  </si>
  <si>
    <t xml:space="preserve">            1.1.5 อากรรังนกอีแอ่น</t>
  </si>
  <si>
    <t xml:space="preserve">            1.1.6 ภาษีบำรุงท้องถิ่นจากยาสูบ</t>
  </si>
  <si>
    <t xml:space="preserve">            1.1.7 ภาษีบำรุงท้องถิ่นจากน้ำมัน</t>
  </si>
  <si>
    <t xml:space="preserve">            1.1.8 ภาษีบำรุงท้องถิ่นจากโรงแรม</t>
  </si>
  <si>
    <t xml:space="preserve">    1.2  รายได้ที่มิใช่ภาษีอากร</t>
  </si>
  <si>
    <t xml:space="preserve">            1.2.1 ค่าธรรมเนียม ค่าปรับ และใบอนุญาต</t>
  </si>
  <si>
    <t xml:space="preserve">            1.2.2 รายได้จากทรัพย์สิน</t>
  </si>
  <si>
    <t xml:space="preserve">           1.2.3 รายได้จากสาธารณูปโภค </t>
  </si>
  <si>
    <t xml:space="preserve">           1.2.4 รายได้เบ็ดเตล็ด</t>
  </si>
  <si>
    <t>2.  รายได้จากการจัดสรรภาษีที่รัฐบาลเก็บให้หรือแบ่งให้ท้องถิ่น</t>
  </si>
  <si>
    <t xml:space="preserve">     2.2 ภาษีธุรกิจเฉพาะ</t>
  </si>
  <si>
    <t xml:space="preserve">     2.3 ภาษีสุราและเบียร์</t>
  </si>
  <si>
    <t xml:space="preserve">     2.4 ภาษีสรรพสามิต </t>
  </si>
  <si>
    <t xml:space="preserve">     2.5 ภาษีและค่าธรรมเนียมรถยนต์และล้อเลื่อน</t>
  </si>
  <si>
    <t xml:space="preserve">     2.6 ค่าธรรมเนียมจดทะเบียนอสังหาริมทรัพย์</t>
  </si>
  <si>
    <t xml:space="preserve">      2.7 ภาษีการพนัน</t>
  </si>
  <si>
    <t xml:space="preserve">      2.8 ค่าภาคหลวงแร่</t>
  </si>
  <si>
    <t xml:space="preserve">      2.9 ค่าภาคหลวงปิโตรเลียม</t>
  </si>
  <si>
    <t xml:space="preserve">             อื่นๆ</t>
  </si>
  <si>
    <t>3.  พรบ.กำหนดแผนฯจากภาษีมูลค่าเพิ่ม</t>
  </si>
  <si>
    <t>4.  รายได้ที่รัฐบาลจัดสรรเพิ่มให้ (เงินอุดหนุน)</t>
  </si>
  <si>
    <t xml:space="preserve">      4.2 เงินอุดหนุนเฉพาะกิจ</t>
  </si>
  <si>
    <t xml:space="preserve">      4.3 เงินอุดหนุนพัฒนาจังหวัด</t>
  </si>
  <si>
    <t>จำนวนเงิน (บาท)</t>
  </si>
  <si>
    <t>5.  รวมรายได้ของท้องถิ่นรวมเงินสะสมและเงินกู้ (1+2+3+4)</t>
  </si>
  <si>
    <t>6.  รายได้จากเงินสะสมและเงินกู้</t>
  </si>
  <si>
    <t xml:space="preserve">       6.1  เงินสะสม    </t>
  </si>
  <si>
    <t xml:space="preserve">       6.2 เงินกู้</t>
  </si>
  <si>
    <t xml:space="preserve">        6.3 อื่น ๆ</t>
  </si>
  <si>
    <t>7.  รวมรายได้ของท้องถิ่นทั้งสิ้น (5+6)</t>
  </si>
  <si>
    <t>1.  รายจ่ายงบกลาง</t>
  </si>
  <si>
    <t xml:space="preserve">      1.1 ชำระหนี้เงินกู้</t>
  </si>
  <si>
    <t xml:space="preserve">       1.2 จ่ายตามข้อผูกพัน</t>
  </si>
  <si>
    <t xml:space="preserve">       1.3 เงินช่วยเหลืองบเฉพาะการ</t>
  </si>
  <si>
    <t xml:space="preserve">       1.4 เงินสำรองจ่าย</t>
  </si>
  <si>
    <t xml:space="preserve">       1.5 อื่น ๆ</t>
  </si>
  <si>
    <t>2.  รายจ่ายประจำ</t>
  </si>
  <si>
    <t xml:space="preserve">      2.3 ค่าตอบแทน ใช้สอยและวัสดุ</t>
  </si>
  <si>
    <t xml:space="preserve">      2.4 ค่าสาธารณูปโภค</t>
  </si>
  <si>
    <t xml:space="preserve">      2.5 เงินอุดหนุน</t>
  </si>
  <si>
    <t xml:space="preserve">      2.6 รายจ่ายอื่นๆ</t>
  </si>
  <si>
    <t xml:space="preserve">      2.7 เงินสำรองรายรับ</t>
  </si>
  <si>
    <t>3.  รายจ่ายเพื่อการลงทุน</t>
  </si>
  <si>
    <t xml:space="preserve">       3.1 ค่าครุภัณฑ์ที่ดินและสิ่งก่อสร้าง</t>
  </si>
  <si>
    <t>4.  รายจ่ายพิเศษ</t>
  </si>
  <si>
    <t xml:space="preserve">        4.2 เงินสะสม</t>
  </si>
  <si>
    <t xml:space="preserve">        4.3 เงินกู้</t>
  </si>
  <si>
    <t xml:space="preserve">        4.4 อื่นๆ</t>
  </si>
  <si>
    <t>5.  รายจ่ายกันไว้เบิกเหลื่อมปี</t>
  </si>
  <si>
    <t xml:space="preserve">       5.1 รายจ่ายงบกลาง</t>
  </si>
  <si>
    <t xml:space="preserve">       5.2 ค่าตอบแทน ใช้สอยและวัสดุ</t>
  </si>
  <si>
    <t xml:space="preserve">       5.3 ค่าครุภัณฑ์ที่ดินและสิ่งก่อสร้าง</t>
  </si>
  <si>
    <t xml:space="preserve">        5.4 รายจ่ายอื่นๆ</t>
  </si>
  <si>
    <t>รวมรายจ่ายทั้งสิ้น</t>
  </si>
  <si>
    <t>สัดส่วนของรายจ่าย (ร้อยละ)</t>
  </si>
  <si>
    <t>ค่าที่ดินและสิ่งก่อสร้าง(เงินอุดหนุนเฉพาะกิจ)</t>
  </si>
  <si>
    <t>เดบิต</t>
  </si>
  <si>
    <t xml:space="preserve">  เครดิต</t>
  </si>
  <si>
    <r>
      <t>รายรับ</t>
    </r>
    <r>
      <rPr>
        <sz val="14"/>
        <rFont val="Angsana New"/>
        <family val="1"/>
      </rPr>
      <t xml:space="preserve"> (หมายเหตุ 1)</t>
    </r>
  </si>
  <si>
    <t>รายได้เบ็ดเตล็ด</t>
  </si>
  <si>
    <t xml:space="preserve">            1.1.3 ภาษีป้าย</t>
  </si>
  <si>
    <t>รายละเอียด  ประกอบงบทดลองและรายงานรับ  - จ่าย</t>
  </si>
  <si>
    <t>ค่าใช้จ่ายค้างจ่าย</t>
  </si>
  <si>
    <t>ค่าธรรมเนียม ค่าปรับและใบอนุญาต</t>
  </si>
  <si>
    <t>ลูกหนี้เงินยืมเงินสะสม</t>
  </si>
  <si>
    <t>ลูกหนี้เงินยืม เงินงบประมาณ</t>
  </si>
  <si>
    <t>-</t>
  </si>
  <si>
    <t xml:space="preserve">            (นายวรพล   แผนเจริญ)</t>
  </si>
  <si>
    <t xml:space="preserve">          ปลัดองค์การบริหารส่วนตำบล           </t>
  </si>
  <si>
    <t>1.  ค่าตอบแทนใช้สอยและวัสดุ</t>
  </si>
  <si>
    <t>งบตั้งจ่าย</t>
  </si>
  <si>
    <t xml:space="preserve">รายจ่ายอื่น ๆ </t>
  </si>
  <si>
    <t>ภาษีหัก ณ  ที่จ่าย</t>
  </si>
  <si>
    <r>
      <t xml:space="preserve"> เงินรับฝาก </t>
    </r>
    <r>
      <rPr>
        <b/>
        <sz val="16"/>
        <rFont val="Angsana New"/>
        <family val="1"/>
      </rPr>
      <t xml:space="preserve"> (หมายเหตุ  2)</t>
    </r>
  </si>
  <si>
    <t>นายกองค์การบริหารส่วนตำบลท่าช้าง</t>
  </si>
  <si>
    <t>2.  หมวดครุภัณฑ์ที่ดินและสิ่งก่อสร้าง</t>
  </si>
  <si>
    <r>
      <t xml:space="preserve">     </t>
    </r>
    <r>
      <rPr>
        <u val="single"/>
        <sz val="14"/>
        <rFont val="Angsana New"/>
        <family val="1"/>
      </rPr>
      <t>ค่าที่ดินและสิ่งก่อสร้าง</t>
    </r>
  </si>
  <si>
    <t xml:space="preserve">     ค่าตอบแทนผู้ปฏิบัติราชการฯ</t>
  </si>
  <si>
    <t>รายจ่ายรอจ่าย</t>
  </si>
  <si>
    <t>510000</t>
  </si>
  <si>
    <t>531000</t>
  </si>
  <si>
    <t>532000</t>
  </si>
  <si>
    <t>533000</t>
  </si>
  <si>
    <t>534000</t>
  </si>
  <si>
    <t>110605</t>
  </si>
  <si>
    <t>110606</t>
  </si>
  <si>
    <t>เงินฝากธนาคารออมทรัพย์เลขที่ 703-0-19501-9</t>
  </si>
  <si>
    <t>เงินอุดหนุนกีฬารวมพลคนท้องถิ่น</t>
  </si>
  <si>
    <t>งบกระทบยอดเงินฝากธนาคาร</t>
  </si>
  <si>
    <t xml:space="preserve">บวก: </t>
  </si>
  <si>
    <t>วันที่ลงบัญชี</t>
  </si>
  <si>
    <t>วันที่ฝากธนาคาร</t>
  </si>
  <si>
    <t>จำนวนเงิน</t>
  </si>
  <si>
    <t>เงินฝากระหว่างทาง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</si>
  <si>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</si>
  <si>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</si>
  <si>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</si>
  <si>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ผู้จัดทำ</t>
  </si>
  <si>
    <t>ผู้ตรวจสอบ</t>
  </si>
  <si>
    <t xml:space="preserve">  ตำแหน่ง  ปลัดองค์การบริหารส่วนตำบล</t>
  </si>
  <si>
    <t>รายละเอียด</t>
  </si>
  <si>
    <t xml:space="preserve">บวก :  หรือ (หัก) รายการกระทบยอดอื่น ๆ </t>
  </si>
  <si>
    <t>....................................</t>
  </si>
  <si>
    <t>..........................................</t>
  </si>
  <si>
    <t>......................................................</t>
  </si>
  <si>
    <t>.....................................................</t>
  </si>
  <si>
    <t>.........................................</t>
  </si>
  <si>
    <t>.......................................</t>
  </si>
  <si>
    <t>................................................</t>
  </si>
  <si>
    <t>..................................................</t>
  </si>
  <si>
    <t>...................................................</t>
  </si>
  <si>
    <t>...............................</t>
  </si>
  <si>
    <t>................................</t>
  </si>
  <si>
    <t>...................................</t>
  </si>
  <si>
    <t>..................................</t>
  </si>
  <si>
    <t>เลขที่บัญชี  304-2-34804-2</t>
  </si>
  <si>
    <t>ธนาคารเพื่อการเกษตรและสหกรณ์การเกษตร  สาขาบ้านลาด</t>
  </si>
  <si>
    <t>.....................................</t>
  </si>
  <si>
    <t>........................................</t>
  </si>
  <si>
    <t>...............................................</t>
  </si>
  <si>
    <t>.................................................</t>
  </si>
  <si>
    <t xml:space="preserve">       ...................................</t>
  </si>
  <si>
    <t>............................................</t>
  </si>
  <si>
    <t>ธนาคารกรุงไทย จำกัด (มหาชน)</t>
  </si>
  <si>
    <t>เลขที่บัญชี  731-6-00792-3</t>
  </si>
  <si>
    <t>300000</t>
  </si>
  <si>
    <t xml:space="preserve">    2.10 ค่าภาคหลวงป่าไม้</t>
  </si>
  <si>
    <t xml:space="preserve">      4.1 เงินอุดหนุนทั่วไป </t>
  </si>
  <si>
    <r>
      <t xml:space="preserve">      </t>
    </r>
    <r>
      <rPr>
        <u val="single"/>
        <sz val="14"/>
        <rFont val="Angsana New"/>
        <family val="1"/>
      </rPr>
      <t>ค่าตอบแทน</t>
    </r>
  </si>
  <si>
    <r>
      <rPr>
        <sz val="14"/>
        <rFont val="Angsana New"/>
        <family val="1"/>
      </rPr>
      <t xml:space="preserve">     </t>
    </r>
    <r>
      <rPr>
        <u val="single"/>
        <sz val="14"/>
        <rFont val="Angsana New"/>
        <family val="1"/>
      </rPr>
      <t>ค่าวัสดุ</t>
    </r>
  </si>
  <si>
    <t xml:space="preserve">    ค่าอาหารเสริม(นม)ร.ร.และศพด.</t>
  </si>
  <si>
    <t>110100</t>
  </si>
  <si>
    <t>110201</t>
  </si>
  <si>
    <t>110203</t>
  </si>
  <si>
    <t>120100</t>
  </si>
  <si>
    <t>เงินเดือน(ฝ่ายการเมือง)</t>
  </si>
  <si>
    <t>เงินเดือน(ฝ่ายประจำ)</t>
  </si>
  <si>
    <t>521000</t>
  </si>
  <si>
    <t>520000</t>
  </si>
  <si>
    <t>560000</t>
  </si>
  <si>
    <t>541000</t>
  </si>
  <si>
    <t>542000</t>
  </si>
  <si>
    <t>550000</t>
  </si>
  <si>
    <t>210402</t>
  </si>
  <si>
    <t>230100</t>
  </si>
  <si>
    <t xml:space="preserve">      2.1 เงินเดือน(ฝ่ายการเมือง)</t>
  </si>
  <si>
    <t xml:space="preserve">      2.2 เงินเดือน(ฝ่ายประจำ)</t>
  </si>
  <si>
    <t>ใบผ่านรายการบัญชีทั่วไป</t>
  </si>
  <si>
    <t>ฝ่าย  ส่วนการคลัง</t>
  </si>
  <si>
    <t>ใบผ่านรายการบัญชีมาตรฐาน</t>
  </si>
  <si>
    <t>คำอธิบาย</t>
  </si>
  <si>
    <t xml:space="preserve">  เพื่อบันทึก</t>
  </si>
  <si>
    <t>ผู้อนุมัติ</t>
  </si>
  <si>
    <t>ผู้บันทึกบัญชี</t>
  </si>
  <si>
    <t>เดบิท</t>
  </si>
  <si>
    <t>เครดิต</t>
  </si>
  <si>
    <t xml:space="preserve">                      เลขที่  304-2-34804-2</t>
  </si>
  <si>
    <t xml:space="preserve">              บัญชีเงินเดือน(ฝ่ายการเมือง)</t>
  </si>
  <si>
    <t xml:space="preserve">              บัญชีเงินเดือน(ฝ่ายประจำ)</t>
  </si>
  <si>
    <t xml:space="preserve">              บัญชีค่าตอบแทน</t>
  </si>
  <si>
    <t xml:space="preserve">              บัญชีค่าใช้สอย</t>
  </si>
  <si>
    <t xml:space="preserve">               บัญชีค่าวัสดุ</t>
  </si>
  <si>
    <t xml:space="preserve">               บัญชีค่าสาธารณูปโภค</t>
  </si>
  <si>
    <t xml:space="preserve">                                 เลขที่ 304-5-00012-0</t>
  </si>
  <si>
    <t xml:space="preserve">                        บัญชีภาษีหัก ณ ที่จ่าย</t>
  </si>
  <si>
    <r>
      <t xml:space="preserve">          </t>
    </r>
    <r>
      <rPr>
        <b/>
        <sz val="16"/>
        <rFont val="Angsana New"/>
        <family val="1"/>
      </rPr>
      <t xml:space="preserve"> เครดิต</t>
    </r>
    <r>
      <rPr>
        <sz val="16"/>
        <rFont val="Angsana New"/>
        <family val="1"/>
      </rPr>
      <t xml:space="preserve"> บัญชีเงินฝากธนาคาร-กระแสรายวัน</t>
    </r>
  </si>
  <si>
    <r>
      <rPr>
        <b/>
        <sz val="16"/>
        <rFont val="Angsana New"/>
        <family val="1"/>
      </rPr>
      <t>เดบิท</t>
    </r>
    <r>
      <rPr>
        <sz val="16"/>
        <rFont val="Angsana New"/>
        <family val="1"/>
      </rPr>
      <t xml:space="preserve">   บัญชี งบกลาง</t>
    </r>
  </si>
  <si>
    <r>
      <t xml:space="preserve">            </t>
    </r>
    <r>
      <rPr>
        <b/>
        <sz val="16"/>
        <rFont val="Angsana New"/>
        <family val="1"/>
      </rPr>
      <t xml:space="preserve"> เครดิต</t>
    </r>
    <r>
      <rPr>
        <sz val="16"/>
        <rFont val="Angsana New"/>
        <family val="1"/>
      </rPr>
      <t xml:space="preserve">  บัญชีเงินรายรับ</t>
    </r>
  </si>
  <si>
    <t>รายการโอนเงินฝากธนาคารประเภทออมทรัพย์เลขที่ 304-2-304804-2เข้าบัญชีเงินฝากธนาคารประเภทกระแส</t>
  </si>
  <si>
    <t xml:space="preserve">               บัญชีเงินยืมตามงบประมาณ</t>
  </si>
  <si>
    <r>
      <t xml:space="preserve">      </t>
    </r>
    <r>
      <rPr>
        <b/>
        <sz val="16"/>
        <rFont val="Angsana New"/>
        <family val="1"/>
      </rPr>
      <t>เดบิท</t>
    </r>
    <r>
      <rPr>
        <sz val="16"/>
        <rFont val="Angsana New"/>
        <family val="1"/>
      </rPr>
      <t xml:space="preserve">    บัญชีเงินฝากธนาคาร-กระแสรายวัน</t>
    </r>
  </si>
  <si>
    <t xml:space="preserve">                              เลขที่ 304-5-00012-0</t>
  </si>
  <si>
    <r>
      <t xml:space="preserve">                   </t>
    </r>
    <r>
      <rPr>
        <b/>
        <sz val="16"/>
        <rFont val="Angsana New"/>
        <family val="1"/>
      </rPr>
      <t>เครดิต</t>
    </r>
    <r>
      <rPr>
        <sz val="16"/>
        <rFont val="Angsana New"/>
        <family val="1"/>
      </rPr>
      <t xml:space="preserve">   บัญชีเงินฝากธนาคาร-ออมทรัพย์</t>
    </r>
  </si>
  <si>
    <t xml:space="preserve">                                     เลขที่ 304-2-34804-2</t>
  </si>
  <si>
    <t>320000</t>
  </si>
  <si>
    <t>บวก :  หรือ (หัก) รายการกระทบยอดอื่น ๆ (ยกไป)</t>
  </si>
  <si>
    <t xml:space="preserve">           บัญชีเงินฝากธนาคาร-กระแสรายวัน</t>
  </si>
  <si>
    <t xml:space="preserve">                    เลขที่ 731-6-00792-3</t>
  </si>
  <si>
    <t xml:space="preserve">     - โครงการก่อสร้างผนังกั้นดินคสล. หมู่ที่ 4</t>
  </si>
  <si>
    <t xml:space="preserve">     - โครงการก่อสร้างถนนลาดยางแอสฟัสท์ติก หมู่ที่ 7</t>
  </si>
  <si>
    <t>บัญชีภาษีบำรุงท้องที่</t>
  </si>
  <si>
    <t xml:space="preserve">              บัญชีเงินอุดหนุนเฉพาะกิจ(ค่าเบี้ยยังชีพฯ)</t>
  </si>
  <si>
    <t>เงินอุดหนุนเฉพาะกิจ(ค่าเบี้ยยังชีพผู้สูงอายุ(รอส่งคืน)</t>
  </si>
  <si>
    <t>เงินอุดหนุนเฉพาะกิจ(ศพด.)</t>
  </si>
  <si>
    <t>รายจ่ายเงินอุดหนุนเฉพาะกิจ</t>
  </si>
  <si>
    <t>เลขที่  1/01/2554</t>
  </si>
  <si>
    <t xml:space="preserve">บัญชีเงินอุดหนุนเฉพาะกิจ(ศพด.)             </t>
  </si>
  <si>
    <t xml:space="preserve">เดบิต        บัญชีเงินฝากธนาคาร-ออมทรัพย์ </t>
  </si>
  <si>
    <t xml:space="preserve">                            บัญชีเงินฝากธนาคาร-กระแสรายวัน</t>
  </si>
  <si>
    <t xml:space="preserve">                             เลขที่ 731-6-00792-3</t>
  </si>
  <si>
    <t xml:space="preserve">                   เครดิต    บัญชีเงินยืมตามงบประมาณ</t>
  </si>
  <si>
    <t xml:space="preserve"> บัญชีค่าขายแบบแปลน</t>
  </si>
  <si>
    <t>วันที่  31 มีนาคม 2554</t>
  </si>
  <si>
    <t xml:space="preserve">                            บัญชีค่าใช้จ่าย 5%</t>
  </si>
  <si>
    <t xml:space="preserve">                           บัญชี เงินส่วนลด 6%</t>
  </si>
  <si>
    <t xml:space="preserve">   รายการสมุดเงินสดรับไปบัญชีแยกประเภทที่เกี่ยวข้องประจำเดือน มีนาคม   2554</t>
  </si>
  <si>
    <t>เลขที่  2/03/2554</t>
  </si>
  <si>
    <t xml:space="preserve">              บัญชีเงินอุดหนุน</t>
  </si>
  <si>
    <t xml:space="preserve">               บัญชีเงินภาษีหัก ณ ที่จ่าย</t>
  </si>
  <si>
    <t xml:space="preserve">               บัญชีเงินยืมเงินสะสม</t>
  </si>
  <si>
    <t xml:space="preserve">   รายการสมุดเงินสดจ่ายไปบัญชีแยกประเภทที่เกี่ยวข้องประจำเดือน  มีนาคม 2554</t>
  </si>
  <si>
    <t>เลขที่  3/03/2554</t>
  </si>
  <si>
    <t>วันที่ 31 มีนาคม 2554</t>
  </si>
  <si>
    <t>บัญชีดอกเบี้ย</t>
  </si>
  <si>
    <t xml:space="preserve">   รายการทะเบียนรายรับไปบัญชีแยกประเภทที่เกี่ยวข้องประจำเดือน มีนาคม  2554</t>
  </si>
  <si>
    <t>บัญชีเงินรายรับ</t>
  </si>
  <si>
    <r>
      <rPr>
        <b/>
        <sz val="16"/>
        <rFont val="Angsana New"/>
        <family val="1"/>
      </rPr>
      <t>เดบิท</t>
    </r>
    <r>
      <rPr>
        <sz val="16"/>
        <rFont val="Angsana New"/>
        <family val="1"/>
      </rPr>
      <t xml:space="preserve">   </t>
    </r>
  </si>
  <si>
    <t>บัญชีภาษีโรงเรือนและที่ดิน</t>
  </si>
  <si>
    <r>
      <rPr>
        <b/>
        <sz val="16"/>
        <rFont val="Angsana New"/>
        <family val="1"/>
      </rPr>
      <t>เครดิต</t>
    </r>
    <r>
      <rPr>
        <sz val="16"/>
        <rFont val="Angsana New"/>
        <family val="1"/>
      </rPr>
      <t xml:space="preserve">  </t>
    </r>
  </si>
  <si>
    <t>บัญชีภาษีป้าย</t>
  </si>
  <si>
    <t>บัญชีอากรการฆ่าสัตว์</t>
  </si>
  <si>
    <t>บัญชีค่าธรรมเนียนใบอนุญาตขายสุรา</t>
  </si>
  <si>
    <t>บัญชีค่าธรรมเนียมปิดป้าย ติดตั้งแผ่นฯ</t>
  </si>
  <si>
    <t>บัญชีค่าภาษีมูลค่าเพิ่ม 1 ใน 9</t>
  </si>
  <si>
    <t>บัญชีค่าธุรกิจเฉพาะ</t>
  </si>
  <si>
    <t>บัญชีค่าภาษีสุรา</t>
  </si>
  <si>
    <t>บัญชีค่าภาษีสรรพสามิต</t>
  </si>
  <si>
    <t>บัญชีค่าธรรมเนียมจดทะเบียนสิทธิฯ</t>
  </si>
  <si>
    <t>บัญชีค่าธรรมเนียมจดทะเบียนพาณิชย์</t>
  </si>
  <si>
    <t>บัญชีเงินอุดหนุนเฉพาะกิจ(ศพด.)</t>
  </si>
  <si>
    <t xml:space="preserve">บัญชีเงินรายได้เบ็ดเตล็ดอื่น ๆ </t>
  </si>
  <si>
    <t xml:space="preserve">                    ผู้จัดทำ</t>
  </si>
  <si>
    <t xml:space="preserve">        ผู้บันทึกบัญชี</t>
  </si>
  <si>
    <t>เพื่อบันทึก</t>
  </si>
  <si>
    <t>เลขที่ 17/2554</t>
  </si>
  <si>
    <t>รายวันเลขที่ 304-5-00012-0 ประจำเดือน มีนาคม  2554</t>
  </si>
  <si>
    <t>เลขที่  1/04/2554</t>
  </si>
  <si>
    <t>วันที่  30 เมษายน  2554</t>
  </si>
  <si>
    <t xml:space="preserve">           บัญชีเงินสด</t>
  </si>
  <si>
    <t xml:space="preserve">                           บัญชีเงินค่าเบี้ยยังชีพ (ตามนโยบาย)</t>
  </si>
  <si>
    <t xml:space="preserve">   รายการสมุดเงินสดรับไปบัญชีแยกประเภทที่เกี่ยวข้องประจำเดือน เมษายน 2554</t>
  </si>
  <si>
    <t>วันที่  30 เมษายน 2554</t>
  </si>
  <si>
    <t>บัญชีงบกลาง</t>
  </si>
  <si>
    <t>บัญชีเงินเดือน (ฝ่ายการเมือง)</t>
  </si>
  <si>
    <t>บัญชีเงินฝากธนาคาร-ออมทรัพย์</t>
  </si>
  <si>
    <t>เลขที่ 304-2-34804-2</t>
  </si>
  <si>
    <t>บัญชีเงินฝากธนาคาร-กระแสรายวัน</t>
  </si>
  <si>
    <t>เลขที่ 731-6-00792-3</t>
  </si>
  <si>
    <t>บัญชีเงินเดือน (ฝ่ายประจำ)</t>
  </si>
  <si>
    <t>บัญชีค่าตอบแทน</t>
  </si>
  <si>
    <t>บัญชีค่าใช้สอย</t>
  </si>
  <si>
    <t>บัญชีค่าวัสดุ</t>
  </si>
  <si>
    <t>บัญชีค่าสาธารณูปโภค</t>
  </si>
  <si>
    <t>บัญชีเงินยืมเงินสะสม</t>
  </si>
  <si>
    <t>บัญชีเงินภาษีหัก ณ ที่จ่าย</t>
  </si>
  <si>
    <t>เลขที่ 304-5-00012-0</t>
  </si>
  <si>
    <t>บัญชีภาษีอากรการฆ่าสัตว์</t>
  </si>
  <si>
    <t>…………………………</t>
  </si>
  <si>
    <t>บัญชีภาษีสุรา</t>
  </si>
  <si>
    <t xml:space="preserve">   เดบิท       เงินฝากธนาคาร-ออมทรัพย์</t>
  </si>
  <si>
    <t xml:space="preserve">                    เลขที่ 304-2-34804-2</t>
  </si>
  <si>
    <t>รายการส่งใช้เงินยืมตามงบประมาณ เลขที่  21/2554 (ป) ลว. 24  พ.ค.54</t>
  </si>
  <si>
    <t>เลขที่  22/ 2554</t>
  </si>
  <si>
    <t>วันที่   2 มิถุนายน  2554</t>
  </si>
  <si>
    <t>บัญชีเงินอุดหนุน</t>
  </si>
  <si>
    <t>บัญชีค่าครุภัณฑ์</t>
  </si>
  <si>
    <t>ณ  วันที่  30  มิถุนายน  2554</t>
  </si>
  <si>
    <t>.................................</t>
  </si>
  <si>
    <t xml:space="preserve">ใบผ่านรายการบัญชีทั่วไป                               </t>
  </si>
  <si>
    <t xml:space="preserve">บัญชีค่าภาษีมูลค่าเพิ่ม ตาม พ.ร.บ.กระจายฯ      </t>
  </si>
  <si>
    <t xml:space="preserve">          (น.ส.ถวัล    คำใส) </t>
  </si>
  <si>
    <t>บัญชีค่าภาคหลวงปิโตรเลี่ยม</t>
  </si>
  <si>
    <t>บัญชีเงินสะสม</t>
  </si>
  <si>
    <t>ณ  วันที่  30  กันยายน  2554</t>
  </si>
  <si>
    <t>รายจ่ายรายจ่ายรอจ่าย</t>
  </si>
  <si>
    <t xml:space="preserve">       4.1 เงินอุดหนุนตามวัตถุประสงค์(ค่าเบี้ยยังชีพ,ศพด.,พมจ.)</t>
  </si>
  <si>
    <t>………………………</t>
  </si>
  <si>
    <t>บัญชีเงินที่เก็บตามกฎหมายว่าด้วยอุทยานแห่งชาติ</t>
  </si>
  <si>
    <t>บัญชีค่าธรรมเนียมจดทะเบียนสิทธิและนิติกรรมฯ</t>
  </si>
  <si>
    <t>บัญชีเงินอุดหนุนทั่วไปสำหรับดำเนินการตามอำนาจฯ</t>
  </si>
  <si>
    <t>บัญชีเงินอุดหนุนเฉพาะกิจสนับสนุนศพด.</t>
  </si>
  <si>
    <t>บัญชีเงินอุดหนุนเฉพาะกิจโครงการศูนย์พัฒนาครอบฯ</t>
  </si>
  <si>
    <t>บัญชีเงินเดือน(ฝ่ายการเมือง)</t>
  </si>
  <si>
    <t>บัญชีเงินเดือน(ฝ่ายประจำ)</t>
  </si>
  <si>
    <t>บัญชีค่าที่ดินและสิ่งก่อสร้าง</t>
  </si>
  <si>
    <t>บัญชีเงินอุดหนุนเฉพาะกิจ</t>
  </si>
  <si>
    <t>บัญชีเงินสำรองเงินสะสม</t>
  </si>
  <si>
    <t>รายการบันทึกปิดบัญชีเงินรายรับ รายจ่าย เข้าบัญชีเงินสะสมและบัญชีเงินทุนสำรองเงินสะสม</t>
  </si>
  <si>
    <t xml:space="preserve">บัญชีเงินฝากธนาคาร-ออมทรัพย์  304-2-34804-2        </t>
  </si>
  <si>
    <t xml:space="preserve">บัญชีเงินฝากธนาคาร-ออมทรัพย์  304-2-29182-3     </t>
  </si>
  <si>
    <t>บัญชีเงินฝากธนาคาร-ออมทรัพย์ 703-0-19501-9</t>
  </si>
  <si>
    <t>บัญชีเงินฝากธนาคาร-กระแสฯ 731-6-00792-3</t>
  </si>
  <si>
    <t>เครดิต     บัญชีรายจ่ายค้างจ่าย</t>
  </si>
  <si>
    <t xml:space="preserve">                 บัญชีรายจ่ายรอจ่าย</t>
  </si>
  <si>
    <t xml:space="preserve">                 บัญชีค่าใช้จ่าย  5%</t>
  </si>
  <si>
    <t xml:space="preserve">                 บัญชีเงินส่วนลดภบท.6%</t>
  </si>
  <si>
    <t xml:space="preserve">                 บัญชีเงินมัดจำประกันสัญญา</t>
  </si>
  <si>
    <t xml:space="preserve">                 บัญชีเงินทุนโครงการเศรษฐกิจชุมชน</t>
  </si>
  <si>
    <t xml:space="preserve">                 บัญชีเงินสะสม</t>
  </si>
  <si>
    <t xml:space="preserve">                บัญชีเงินทุนสำรองเงินสะสม</t>
  </si>
  <si>
    <t>เงินส่งคืนเงินค่าใช้สอย(งานลอยกระทง)</t>
  </si>
  <si>
    <t xml:space="preserve">      2.1  ภาษีมูลค่าเพิ่ม 1 ใน 9</t>
  </si>
  <si>
    <t xml:space="preserve">           1.2.5รายได้จากทุน</t>
  </si>
  <si>
    <t>บัญชีเงินอุดหนุนเฉพาะกิจ(สนับสนุนศพด.ประกันสังคม)</t>
  </si>
  <si>
    <t>บัญชีเงินอุดหนุนเฉพาะกิจ (ค่าเบี้ยยังชีพผู้สูงอายุ)</t>
  </si>
  <si>
    <t>บัญชีเงินอุดหนุนเฉพาะกิจ(ค่าเบี้ยยังชีพผู้พิการ)</t>
  </si>
  <si>
    <t>บัญชีเงินอุดหนุนเฉพาะกิจ(ค่าเบี้ยยังชีพผู้สูงอายุ)</t>
  </si>
  <si>
    <t>บัญชีเงินสด</t>
  </si>
  <si>
    <t>รับคืนเงินค่าเบี้ยยังชีพผู้พิการ(ตามนโยบายฯ)</t>
  </si>
  <si>
    <t>เลขที่ 703-0-19501-9</t>
  </si>
  <si>
    <t>รับคืนเงินค่าเบี้ยยังชีพผู้สูงอายุ(ตามนโยบายฯ)</t>
  </si>
  <si>
    <t>เลขที่ 703-6-06456-0</t>
  </si>
  <si>
    <t xml:space="preserve">             (นายปรีชา      มากเกิด)</t>
  </si>
  <si>
    <t>เลขที่บัญชี 01304-2-34804-2</t>
  </si>
  <si>
    <t>เลขที่บัญชี  01304-2-29182-3</t>
  </si>
  <si>
    <t>เลขที่บัญชี  703-0-19501-9</t>
  </si>
  <si>
    <t>บัญชีภาษีหัก ณ ที่จ่าย</t>
  </si>
  <si>
    <t>บัญชีค่าขายแบบแปลน</t>
  </si>
  <si>
    <t>บัญชีค่าภาคหลวงแร่</t>
  </si>
  <si>
    <t>บัญชีเงินภาษีธุรกิจเฉพาะ</t>
  </si>
  <si>
    <t>"</t>
  </si>
  <si>
    <t>วันที่ 28  กันยายน  2555</t>
  </si>
  <si>
    <t>เลขที่ 43/2555</t>
  </si>
  <si>
    <t>บัญชีค่าวัสดุ(อาหารเสริม(นม))</t>
  </si>
  <si>
    <t>บัญชีเงินรายจ่ายค้างจ่าย</t>
  </si>
  <si>
    <t>บัญชีเงินรายจ่ายรอจ่าย</t>
  </si>
  <si>
    <t>รายการรายจ่ายค้างจ่ายและรายจ่ายรอจ่ายประจำปีงบประมาณ 2555</t>
  </si>
  <si>
    <t xml:space="preserve">เครดิต  </t>
  </si>
  <si>
    <t xml:space="preserve">บัญชีเงินทุนโครงการเศรษฐกิจชุมชนฯ            </t>
  </si>
  <si>
    <t>ค่าเบี้ยยังชีพผู้สูงอายุรอคืนจังหวัด</t>
  </si>
  <si>
    <t xml:space="preserve">             ผู้อำนวยการกองคลัง</t>
  </si>
  <si>
    <t>ตำแหน่ง   ผู้อำนวยการกองคลัง</t>
  </si>
  <si>
    <t>ตำแหน่ง  ผู้อำนวยการกองคลัง</t>
  </si>
  <si>
    <t>เลขที่ 46/2555</t>
  </si>
  <si>
    <t>เลขที่ 1/2556</t>
  </si>
  <si>
    <t>วันที่ 1  ตุลาคม  2555</t>
  </si>
  <si>
    <t xml:space="preserve">   บัญชีค่าเบี้ยยังชีพผู้สูงอายุรอส่งคืนจังหวัด</t>
  </si>
  <si>
    <t>รายการบันทึกเปิดบัญชีประจำปีงบประมาณ  2556</t>
  </si>
  <si>
    <t>วันที่ 30 กันยายน 2555</t>
  </si>
  <si>
    <t>วันที่   30  กันยายน  2555</t>
  </si>
  <si>
    <t>วันที่ 30  กันยายน  2555</t>
  </si>
  <si>
    <t>บัญชีค่าอากรฆ่าสัตว์</t>
  </si>
  <si>
    <t>บัญชีค่าธรรมเนียมเกี่ยวกับใบอนุญาตขายสุรา</t>
  </si>
  <si>
    <t>บัญชีค่าธรรมเนียมติดประกาศฯ</t>
  </si>
  <si>
    <t>บัญชีค่าธรรมเนียมการจดทะเบียนพาณิชย์</t>
  </si>
  <si>
    <t xml:space="preserve">บัญชีค่าปรับผิดสัญญา  </t>
  </si>
  <si>
    <t>บัญชีค่าเช่าหรือบริการสถานที่</t>
  </si>
  <si>
    <t>บัญชีดอกเบี้ยเงินฝากธนาคาร</t>
  </si>
  <si>
    <t>บัญชีค่ารับรองสำเนาและถ่ายเอกสาร</t>
  </si>
  <si>
    <t>บัญชีเงินที่มีผู้อุทิศให้</t>
  </si>
  <si>
    <t>บัญชีรายได้เบ็ดเตล็ดอื่น ๆ</t>
  </si>
  <si>
    <t>บัญชีค่าภาษีมูลค่าเพิ่มตาม พ.ร.บ.กำหนดแผนฯ</t>
  </si>
  <si>
    <t xml:space="preserve">บัญชีค่าภาษีธุรกิจเฉพาะ  </t>
  </si>
  <si>
    <t>บัญชีค่าภาษสรรพสามิต</t>
  </si>
  <si>
    <t xml:space="preserve"> </t>
  </si>
  <si>
    <t>บัญชีค่าขายทอดตลาดทรัพย์สิน</t>
  </si>
  <si>
    <t>บัญชีเงินอุดหนุนเฉพาะกิจค่าเบี้ยยังชีพผู้สูงอายุ</t>
  </si>
  <si>
    <t>บัญชีเงินอุดหนุนเฉพาะกิจค่าเบี้ยยังชีพผู้พิการ</t>
  </si>
  <si>
    <t>บัญชีเงินอุดหนุนเฉพาะกิจ(ยาเสพติด 25ตาสัปปะรด)</t>
  </si>
  <si>
    <t>บัญชีเงินอุดหนุนเฉพาะกิจ(ยาเสพติด ตั้งด่านตรวจฯ)</t>
  </si>
  <si>
    <t>บัญชีเงินงบกลาง</t>
  </si>
  <si>
    <t>รายการบันทึกปิดบัญชีเงินรายรับ รายจ่าย เข้าบัญชีเงินสะสมและบัญชีเงินทุนสำรองเงินสะสมประจำปีงบประมาณ</t>
  </si>
  <si>
    <r>
      <t>รายจ่ายค้างจ่ายและรอจ่าย</t>
    </r>
    <r>
      <rPr>
        <sz val="14"/>
        <rFont val="Angsana New"/>
        <family val="0"/>
      </rPr>
      <t xml:space="preserve">   </t>
    </r>
    <r>
      <rPr>
        <b/>
        <sz val="14"/>
        <rFont val="Angsana New"/>
        <family val="1"/>
      </rPr>
      <t xml:space="preserve"> (หมายเหตุ  3)</t>
    </r>
    <r>
      <rPr>
        <sz val="14"/>
        <rFont val="Angsana New"/>
        <family val="0"/>
      </rPr>
      <t xml:space="preserve"> </t>
    </r>
  </si>
  <si>
    <t>หมวดที่จ่ายรายจ่ายรอจ่าย</t>
  </si>
  <si>
    <t>หมวดที่จ่ายรายจ่ายค้างจ่าย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</si>
  <si>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</si>
  <si>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</si>
  <si>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</si>
  <si>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</si>
  <si>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</si>
  <si>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</si>
  <si>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รับเงินกู้</t>
  </si>
  <si>
    <t>ตั้งแต่ต้นปีถึงปัจจุบัน</t>
  </si>
  <si>
    <t>จ่ายเงินตามงบประมาณ</t>
  </si>
  <si>
    <t>จ่ายเงินรับฝาก</t>
  </si>
  <si>
    <t>จ่ายเงินสะสม</t>
  </si>
  <si>
    <t>จ่ายเงินอุดหนุนเฉพาะกิจ</t>
  </si>
  <si>
    <t>จ่ายเงินกู้</t>
  </si>
  <si>
    <t>รับสูงหรือ(ต่ำ)กว่าจ่าย</t>
  </si>
  <si>
    <t>รับเงินอื่น ๆ(เงินสะสม)</t>
  </si>
  <si>
    <t>เงินอุดหนุนเฉพาะกิจ(ค่าเบี้ยฯ,ศพด.พมจ.ยาเสพฯ)</t>
  </si>
  <si>
    <t>จ่ายเงินอื่น ๆ (รายจ่ายค้างจ่าย,รายจ่ายรอจ่าย,จ่ายเงินยืม)</t>
  </si>
  <si>
    <t>รายรับจริงประกอบงบทดลองและรายงานรับ-จ่ายเงินสด</t>
  </si>
  <si>
    <t>รับจริง</t>
  </si>
  <si>
    <t>รายได้จัดเก็บเอง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</si>
  <si>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</si>
  <si>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</si>
  <si>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</si>
  <si>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</si>
  <si>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</si>
  <si>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ภาษีบำรุง  อบจ.จากสถานค้าปลีกยาสูบ</t>
  </si>
  <si>
    <t>ภาษีบำรุง อบจ.จากสถานค้าปลีกน้ำมัน</t>
  </si>
  <si>
    <t>หมวดค่าธรรมเนียม  ค่าปรับและใบอนุญาต</t>
  </si>
  <si>
    <t>ค่าธรรมเนียมเกี่ยวกับควบคุมการฆ่าสัตว์และจำหน่ายเนื้อสัตว์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</si>
  <si>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</si>
  <si>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</si>
  <si>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</si>
  <si>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</si>
  <si>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ค่าธรรมเนียมเก็บและขนมูลฝอย</t>
  </si>
  <si>
    <t>ค่าธรรมเนียมเก็บและขนอุจจาระหรือสิ่งปฏิกูล</t>
  </si>
  <si>
    <t>ค่าธรรมเนียมในการออกหนังสือรับรองการแจ้งการจัดตั้งสถานที่จำหน่ายอาหาร</t>
  </si>
  <si>
    <t>หรือสถานที่สะสมอาหารในอาคารหรือพื้นที่ใดซึ่งมีพื้นที่ไม่เกิน 200 ตร.ม.</t>
  </si>
  <si>
    <t>ค่าธรรมเนียมเกี่ยวกับสุสานและฌาปนสถาน</t>
  </si>
  <si>
    <t>ค่าธรรมเนียมปิดแผ่นป้ายประกาศหรือเขียนข้อความหรือภาพ ติดตั้ง เขียนป้าย</t>
  </si>
  <si>
    <t>หรือเอกสารหรือทิ้งหรือโปรยแผ่นประกาศเพื่อโฆษณาแก่ประชาชน</t>
  </si>
  <si>
    <t>ค่าธรรมเนียมเกี่ยวกับการทะเบียนราษฎร</t>
  </si>
  <si>
    <t>ค่าธรรมเนียมเกี่ยวกับบัตรประจำตัวประชาชน</t>
  </si>
  <si>
    <t>ค่าธรรมเนียมเกี่ยวกับโรคพิษสุนัขบ้า</t>
  </si>
  <si>
    <t>ค่าธรรมเนียมเกี่ยวกับการส่งเสริมและรักษาคุณภาพสิ่งแวดล้อมแห่งชาติ</t>
  </si>
  <si>
    <t>ค่าปรับผู้กระทำความผิดกฎหมายการจัดระเบียบจอดยานยนต์</t>
  </si>
  <si>
    <t>ค่าปรับผู้กระทำความผิดกฎหมายจราจรทางบก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</si>
  <si>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</si>
  <si>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ค่าปรับการผิดสัญญา</t>
  </si>
  <si>
    <t xml:space="preserve">ค่าปรับอื่น ๆ </t>
  </si>
  <si>
    <t>ค่าใบอนุญาตรับทำการเก็บขนหรือกำจัดสิ่งปฏิกูลหรือมูลฝอย</t>
  </si>
  <si>
    <t>ค่าใบอนุญาตจัดตั้งสถานที่จำหน่ายอาหารหรือสถานที่สะสมอาหารในอาคาร</t>
  </si>
  <si>
    <t>หรือพื้นที่ใด ซึ่งมีพื้นที่เกิน 200 ตร.ม.</t>
  </si>
  <si>
    <t>ค่าใบอนุญาตจำหน่ายสินค้าในที่หรือทางสาธารณะ</t>
  </si>
  <si>
    <t>ค่าใบอนุญาตเกี่ยวกับควบคุมอาคาร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</si>
  <si>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</si>
  <si>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 ๆ</t>
  </si>
  <si>
    <t>หมวดรายได้จากทรัพย์สิน</t>
  </si>
  <si>
    <t>ค่าเช่าที่ดิน</t>
  </si>
  <si>
    <t>ค่าเช่าหรือค่าบริการสถานที่</t>
  </si>
  <si>
    <t>ดอกเบี้ย</t>
  </si>
  <si>
    <t>เงินปันผลหรือเงินรางวัลต่าง ๆ</t>
  </si>
  <si>
    <t>ค่าตอบแทนตามที่กฎหมายกำหนด</t>
  </si>
  <si>
    <t>หมวดรายได้จากสาธารณูปโภคและการพาณิชย์</t>
  </si>
  <si>
    <t xml:space="preserve">            หมายเหตุ 1</t>
  </si>
  <si>
    <t>เงินช่วยเหลือท้องถิ่นจากกิจการเฉพาะการ</t>
  </si>
  <si>
    <t>เงินสะสมจากการโอนกิจการสาธารณูปโภคหรือการพาณิชย์</t>
  </si>
  <si>
    <t>รายได้จากสาธารณูปโภคและการพาณิชย์</t>
  </si>
  <si>
    <t>(ไม่แยกเป็นงบเฉพาะการ)</t>
  </si>
  <si>
    <t>หมวดรายได้เบ็ดเตล็ด</t>
  </si>
  <si>
    <t>เงินที่มีผู้อุทิศให้</t>
  </si>
  <si>
    <t>ค่าขายแบบแปลน</t>
  </si>
  <si>
    <t>ค่าเขียนแบบแปลน</t>
  </si>
  <si>
    <t>ค่าจำหน่วยแบบพิมพ์และคำร้อง</t>
  </si>
  <si>
    <t>ค่ารับรองสำเนาและถ่ายเอกสาร</t>
  </si>
  <si>
    <t>ค่าสมัคสมาชิกห้องสมุด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</si>
  <si>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</si>
  <si>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</si>
  <si>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</si>
  <si>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รายได้ที่รัฐบาลเก็บแล้วจัดสรรให้องค์กรปกครองส่วนท้องถิ่นหมวดภาษีจัดสรร</t>
  </si>
  <si>
    <t>ภาษีและค่าธรรมเนียมรถยนต์หรือล้อเลื่อน</t>
  </si>
  <si>
    <t>ภาษีบำรุง อบจ.จากภาษีมูลค่าเพิ่มที่จัดเก็บตามประมวลรัษฎากร 5%</t>
  </si>
  <si>
    <t>ภาษีธุรกิจเฉพาะ</t>
  </si>
  <si>
    <t>ภาษีสุรา</t>
  </si>
  <si>
    <t>ภาษีสรรพสามิต</t>
  </si>
  <si>
    <t>ภาษีการพนัน</t>
  </si>
  <si>
    <t>ค่าภาคหลวงแร่</t>
  </si>
  <si>
    <t>ค่าภาคหลวงปิโตรเลี่ยม</t>
  </si>
  <si>
    <t>เงินที่เก็บตามกฎหมายว่าด้วยุทยานแห่งชาติ</t>
  </si>
  <si>
    <t>อากรประทานบัตรและอาชญาบัตรประมง</t>
  </si>
  <si>
    <t>อากรรังนกอีแอ่น</t>
  </si>
  <si>
    <t>รายได้ที่รัฐบาลอุดหนุนให้องค์กรปกครองส่วนท้องถิ่น</t>
  </si>
  <si>
    <t>(หรือเงินอุดหนุนทั่วไป)</t>
  </si>
  <si>
    <t>รายได้ที่รัฐบาลอุดหนุนให้โดยระบุวัตถุประสงค์</t>
  </si>
  <si>
    <t>ภาษียาสูบ</t>
  </si>
  <si>
    <t>ค่าภาคหลวง</t>
  </si>
  <si>
    <t>ค่าธรรมเนียมจดทะเบียนสิทธิและนิติกรรมตามประมวลกฎหมายที่ดิน</t>
  </si>
  <si>
    <t>ค่าธรรมเนียมน้ำบาดาล</t>
  </si>
  <si>
    <t>ภาษีมูลค่าเพิ่มตามพรบ.กำหนดแผนฯ</t>
  </si>
  <si>
    <t>ภาษีมูลค่าเพิ่ม 1 ใน 9</t>
  </si>
  <si>
    <t>ภาษีบำรุง อบจ.จากผู้เข้าพักโรงแรม</t>
  </si>
  <si>
    <t>ค่าธรรมเนียมประทับตรารับรองให้จำหน่ายเนื้อสัตว์</t>
  </si>
  <si>
    <t>ค่าธรรมเนียมการฉีดวัคซีน/ใบรับรองการฉีดวัคซีน</t>
  </si>
  <si>
    <t>ค่าธรรมเนียมเครื่องหมายประจำสัตว์</t>
  </si>
  <si>
    <t>ค่าธรรมเนียมตามประมวลกฎหมายที่ดินมาตรา 9(อบจ.)</t>
  </si>
  <si>
    <t>ค่าธรรมเนียมการขอรับใบอนุญาตเป็นผู้มีสิทธิทำรายงานผลกระทบสิ่งแวดล้อม</t>
  </si>
  <si>
    <t>ค่าธรรมเนียมใบอนุญาตเป็นผู้มีสิทธิทำรายงานผลกระทบสิ่งแวดล้อม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</si>
  <si>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</si>
  <si>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</si>
  <si>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</si>
  <si>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</si>
  <si>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</si>
  <si>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ค่าธรรมเนียมเกี่ยวกับการบำบัดน้ำเสีย</t>
  </si>
  <si>
    <t>ค่าธรรมเนียมเกี่ยวกับบำบัดน้ำทิ้ง</t>
  </si>
  <si>
    <t>ค่าธรรมเนียมจดทะเบียนพาณิชย์</t>
  </si>
  <si>
    <t>ค่าธรรมเนียมอื่น ๆ</t>
  </si>
  <si>
    <t>ค่าปรับผู้กระทำผิดกฎหมายรักษาความสะอาดและเป็นระเบียบเรียบร้อย</t>
  </si>
  <si>
    <t>ค่าปรับผู้กระทำผิดกฎหมายการทะเบียนราษฎร</t>
  </si>
  <si>
    <t>ค่าปรับผู้กระทำผิลกฎหมายบัตรประจำตัวประชาชน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</si>
  <si>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</si>
  <si>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</si>
  <si>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ค่าปรับผู้กระทำผิดกฎหมายหรือข้อบังคับท้องถิ่น</t>
  </si>
  <si>
    <t>ค่าปรับผู้กระทำความผิดตาม พ.ร.บ.ทะเบียนพาณิชย์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</si>
  <si>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</si>
  <si>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</si>
  <si>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ค่าใบอนุญาตให้ตั้งตลาดเอกชน</t>
  </si>
  <si>
    <t>รายได้จากทรัพย์สินอื่น ๆ</t>
  </si>
  <si>
    <t>ค่าจำหน่ายเวชภัณฑ์</t>
  </si>
  <si>
    <t>ค่าจำหน่ายเศษของ</t>
  </si>
  <si>
    <t>รายได้จากทุนอื่น ๆ</t>
  </si>
  <si>
    <t>อากรประมง</t>
  </si>
  <si>
    <t>ค่าธรรมเนียมสนามบิน(ยังไม่มีกฎหมายรองรับ)</t>
  </si>
  <si>
    <t>ภาษีจัดสรรอื่น ๆ</t>
  </si>
  <si>
    <t>หมวดเงินอุดหนุนทั่วไป(ชื่อการจัดสรรจะเปลี่ยนแปลงตามนโยบายของสกถ.)</t>
  </si>
  <si>
    <t>เงินอุดหนุนทั่วไปสำหรับอปท.ที่มีการบริหารจัดการที่ดี</t>
  </si>
  <si>
    <t>ถ่ายโอนเลือกทำ</t>
  </si>
  <si>
    <t>เงินอุดหนุนทั่วไปสำหรับดำเนินการตามอำนาจหน้าที่และภารกิจ</t>
  </si>
  <si>
    <t>(ชื่อการจัดสรรจะเปลี่ยนแปลงตามนโยบายของสกถ.)</t>
  </si>
  <si>
    <t>หมวดเงินอุดหนุนระบุวัตถุประสงค์</t>
  </si>
  <si>
    <t>เงินอุดหนุนระบุวัตถุประสงค์ด้านการศึกษา</t>
  </si>
  <si>
    <t>เงินอุดหนุนระบุวัตถุประสงค์จากกรมส่งเสริมการปกครองท้องถิ่น</t>
  </si>
  <si>
    <t>Reserve      Revenue</t>
  </si>
  <si>
    <t>รวมทั้งสิ้น</t>
  </si>
  <si>
    <t>เลขที่ 03/2556</t>
  </si>
  <si>
    <t>วันที่  4  ธันวาคม  2555</t>
  </si>
  <si>
    <t>รายการส่งใช้เงินยืมเงินสะสมค่าเบี้ยยังชีพผู้สูงอายุ ผู้พิการ ประจำเดือน ต.ค.-พ.ย. 2555</t>
  </si>
  <si>
    <t>บัญชีเงินยืมตามงบประมาณ</t>
  </si>
  <si>
    <t>บัญชีเงินมัดจำประกันสัญญา</t>
  </si>
  <si>
    <t>บัญชีเงินยืมเงินงบประมาณ</t>
  </si>
  <si>
    <t>บัญชีเงินอุดหนุนเฉพาะกิจ(ค่าเบี้ยยังชีพผู้สูงฯ</t>
  </si>
  <si>
    <t>บัญชีเงินอุดหนุนเฉพาะกิจ(ค่าเบี้ยยังชีพพิการ)</t>
  </si>
  <si>
    <t>รายการโอนเงินฝากธนาคารประเภทออมทรัพย์เลขที่ 304-2-304804-2เข้าบัญชีเงินฝากธนาคารประเภท</t>
  </si>
  <si>
    <t>เงินอุดหนุนเฉพาะกิจศพด.รอคืนจังหวัด</t>
  </si>
  <si>
    <t>ค่าเบี้ยยังชีพผู้พิการรอคืนจังหวัด</t>
  </si>
  <si>
    <t>เงินฝากธนาคาร(ประจำ)เลขที่703-2-40062-0</t>
  </si>
  <si>
    <t>110202</t>
  </si>
  <si>
    <t>เลขที่บัญชี  703-2-40062-0</t>
  </si>
  <si>
    <t>ฝ่าย  กองคลัง</t>
  </si>
  <si>
    <t>บัญชีธรรมเนียมปิดป้ายประกาศฯ</t>
  </si>
  <si>
    <t>บัญชีเงินประกันสังคม</t>
  </si>
  <si>
    <r>
      <t xml:space="preserve">    </t>
    </r>
    <r>
      <rPr>
        <u val="single"/>
        <sz val="14"/>
        <rFont val="Angsana New"/>
        <family val="1"/>
      </rPr>
      <t>ค่าใช้สอย</t>
    </r>
  </si>
  <si>
    <t>โครงการจัดทำแผ่นที่ภาษีและทะเบียนทรัพย์สิน</t>
  </si>
  <si>
    <t>ปีงบประมาณ 2557</t>
  </si>
  <si>
    <t>เงินอุดหนุนเฉพาะกิจ(โครงการ)</t>
  </si>
  <si>
    <t>เงินอุดหนุนเฉพาะกิจตามวัตถุประสงค์</t>
  </si>
  <si>
    <t>ตารางรายได้ขององค์กรปกครองส่วนท้องถิ่น  ประจำปีงบประมาณ พ.ศ.2557</t>
  </si>
  <si>
    <t>บัญชีเงินอุดหนุนเฉพาะกิจ(เงินเดือนครูศพด.)</t>
  </si>
  <si>
    <t>บัญชีเงินอุดหนุนเฉพาะกิจ(ค่าตอบแทนผู้ช่วยครูศพด.)</t>
  </si>
  <si>
    <t>บัญชีเงินยืมตามงบประมาณ(ส่งใช้)</t>
  </si>
  <si>
    <t>บัญชีค่ารักษาพยาบาล(สปสช.)</t>
  </si>
  <si>
    <t>ค่ารักษาพยาบาล(สปสช.)</t>
  </si>
  <si>
    <r>
      <rPr>
        <b/>
        <sz val="16"/>
        <rFont val="Angsana New"/>
        <family val="1"/>
      </rPr>
      <t xml:space="preserve">ยอดคงเหลือตามรายงานธนาคาร ณ วันที่  </t>
    </r>
    <r>
      <rPr>
        <sz val="16"/>
        <rFont val="Angsana New"/>
        <family val="1"/>
      </rPr>
      <t xml:space="preserve">21 เมษายน 2557  </t>
    </r>
  </si>
  <si>
    <r>
      <rPr>
        <b/>
        <sz val="16"/>
        <rFont val="Angsana New"/>
        <family val="1"/>
      </rPr>
      <t>ยอดคงเหลือตามบัญชี ณ วันที่</t>
    </r>
    <r>
      <rPr>
        <sz val="16"/>
        <rFont val="Angsana New"/>
        <family val="1"/>
      </rPr>
      <t xml:space="preserve"> 21 เมษายน 2557  </t>
    </r>
  </si>
  <si>
    <t xml:space="preserve">(ลงชื่อ)......................................  วันที่ 21 เมษายน 2557  </t>
  </si>
  <si>
    <t xml:space="preserve">(ลงชื่อ)............................... วันที่  21 เมษายน 2557  </t>
  </si>
  <si>
    <t>เงินค่ารักษาพยาบาลของสปสช.ยังไม่ได้ลงบัญชีฝากเข้า 3,300</t>
  </si>
  <si>
    <t>รายการส่งใช้เงินยืมเงินสะสมเงินเดือนครูและค่าตอบแทน(ศพด.)ประจำเดือน มี.ค.-พ.ค.57 ตามสัญญายืมเงินเลขที่</t>
  </si>
  <si>
    <t>ตามสัญญายืมเงินเลขที่เลขที่ 007/2557,010/2557-011/2557</t>
  </si>
  <si>
    <t>วันที่ 22 พ.ค.2557</t>
  </si>
  <si>
    <t>เลขที่ 25/2557</t>
  </si>
  <si>
    <t>เลขที่บัญชี 731-6-00792-3</t>
  </si>
  <si>
    <t>บัญชีภาษีมูลค่าเพิ่ม 1 ใน 9</t>
  </si>
  <si>
    <t>บัญชีค่าขายแบบแปลนฯ</t>
  </si>
  <si>
    <t>5177680</t>
  </si>
  <si>
    <t>5177708</t>
  </si>
  <si>
    <t>30  มิ.ย.57</t>
  </si>
  <si>
    <t>เลขที่ 30/2557</t>
  </si>
  <si>
    <t>วันที่ 21  ก.ค. 2557</t>
  </si>
  <si>
    <t>รายการส่งใช้เงินยืมตามงบประมาณตามสัญญายืมเลขที่ B00021/57(ค)และB00022/57(ช) ลงวันที่ 26 มิ.ย.2557</t>
  </si>
  <si>
    <t>เลขที่  1/07/2557</t>
  </si>
  <si>
    <t xml:space="preserve">   รายการสมุดเงินสดรับไปบัญชีแยกประเภทที่เกี่ยวข้องประจำเดือน กรกฎาคม  2557</t>
  </si>
  <si>
    <t>เลขที่  2/07/2557</t>
  </si>
  <si>
    <t>บัญชีเงินอุดหนุนเฉพาะกิจ(วัสดุการศึกษา)</t>
  </si>
  <si>
    <t>บัญชีจ่ายขาดเงินสะสม</t>
  </si>
  <si>
    <t xml:space="preserve">   รายการสมุดเงินสดจ่ายไปบัญชีแยกประเภทที่เกี่ยวข้องประจำเดือน กรกฎาคม  2557</t>
  </si>
  <si>
    <t>เลขที่  3/07/2557</t>
  </si>
  <si>
    <t>วันที่31 กรกฎาคม2557</t>
  </si>
  <si>
    <t>วันที31 กรกฎาคม2557</t>
  </si>
  <si>
    <t xml:space="preserve">   รายการทะเบียนรายรับไปบัญชีแยกประเภทที่เกี่ยวข้องประจำเดือน  กรกฎาคม  2557</t>
  </si>
  <si>
    <t>เลขที่ 31/2557</t>
  </si>
  <si>
    <t>วันที่ 31 ก.ค.2557</t>
  </si>
  <si>
    <t>กระแสรายวันเลขที่ 304-5-00012-0  ประจำเดือน  กรกฎาคม 2557</t>
  </si>
  <si>
    <t>ณ  วันที่   31  กรกฎาคม   2557</t>
  </si>
  <si>
    <t xml:space="preserve">     ประจำเดือน กรกฎาคม  2557</t>
  </si>
  <si>
    <t>ประจำเดือน  กรกฎาคม  2557</t>
  </si>
  <si>
    <t>ยอดคงเหลือตามรายงานธนาคารณ วันที่ 31  กรกฎาคม 2557</t>
  </si>
  <si>
    <t>30 พ.ค.57</t>
  </si>
  <si>
    <t>29 ก.ค.57</t>
  </si>
  <si>
    <t>5177755</t>
  </si>
  <si>
    <t>5177757</t>
  </si>
  <si>
    <t>5177760</t>
  </si>
  <si>
    <t>30 ก.ค. 57</t>
  </si>
  <si>
    <t>5177761</t>
  </si>
  <si>
    <t>5177762</t>
  </si>
  <si>
    <t>ยอดคงเหลือตามบัญชี ณ วันที่  31 กรกฎาคม  2557</t>
  </si>
  <si>
    <t>(ลงชื่อ)......................................  วันที่   31 กรกฎาคม  2557</t>
  </si>
  <si>
    <t xml:space="preserve">       (ลงชื่อ)............................... วันที่  31 กรกฎาคม  2557</t>
  </si>
  <si>
    <t>ยอดคงเหลือตามรายงานธนาคารณ วันที่ 31 กรกฎาคม  2557</t>
  </si>
  <si>
    <t>(ลงชื่อ)......................................  วันที่  31 กรกฎาคม  2557</t>
  </si>
  <si>
    <t xml:space="preserve">       (ลงชื่อ)................................... วันที่  31 กรกฎาคม  2557</t>
  </si>
  <si>
    <t>ยอดคงเหลือตามรายงานธนาคารณ วันที่  31 กรกฎาคม  2557</t>
  </si>
  <si>
    <t xml:space="preserve"> (ลงชื่อ)......................................  วันที่  31 กรกฎาคม  2557</t>
  </si>
  <si>
    <t xml:space="preserve">       (ลงชื่อ)................................. วันที่   31 กรกฎาคม  2557</t>
  </si>
  <si>
    <t xml:space="preserve">       (ลงชื่อ)................................. วันที่  31 กรกฎาคม  2557</t>
  </si>
  <si>
    <t>15 ก.ค.57</t>
  </si>
  <si>
    <t>5177736</t>
  </si>
  <si>
    <t>เพียงวันที่  31 กรกฎาคม   2557</t>
  </si>
  <si>
    <r>
      <rPr>
        <u val="single"/>
        <sz val="14"/>
        <rFont val="Angsana New"/>
        <family val="1"/>
      </rPr>
      <t>รายละเอียด</t>
    </r>
    <r>
      <rPr>
        <sz val="14"/>
        <rFont val="Angsana New"/>
        <family val="1"/>
      </rPr>
      <t xml:space="preserve">  (เงินโอนค่ารักษาพยาบาลของสปสช.)</t>
    </r>
  </si>
  <si>
    <t>วันที่  31 กรกฎาคม 2557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</si>
</sst>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;[Red]0.00"/>
    <numFmt numFmtId="202" formatCode="0.0;[Red]0.0"/>
    <numFmt numFmtId="203" formatCode="_-* #,##0.000_-;\-* #,##0.000_-;_-* &quot;-&quot;???_-;_-@_-"/>
    <numFmt numFmtId="204" formatCode="_-* #,##0.00_-;\-* #,##0.00_-;_-* &quot;-&quot;???_-;_-@_-"/>
    <numFmt numFmtId="205" formatCode="_-* #,##0.000_-;\-* #,##0.000_-;_-* &quot;-&quot;??_-;_-@_-"/>
    <numFmt numFmtId="206" formatCode="_-* #,##0.0000_-;\-* #,##0.0000_-;_-* &quot;-&quot;??_-;_-@_-"/>
    <numFmt numFmtId="207" formatCode="#,##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[$-107041E]d\ mmm\ yy;@"/>
    <numFmt numFmtId="213" formatCode="[$-1070000]d/m/yy;@"/>
    <numFmt numFmtId="214" formatCode="0.0"/>
    <numFmt numFmtId="215" formatCode="0.000"/>
  </numFmts>
  <fonts count="44">
    <font>
      <sz val="14"/>
      <name val="Angsana New"/>
      <family val="0"/>
    </font>
    <font>
      <sz val="8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b/>
      <sz val="18"/>
      <name val="Angsana New"/>
      <family val="1"/>
    </font>
    <font>
      <b/>
      <u val="single"/>
      <sz val="14"/>
      <name val="Angsana New"/>
      <family val="1"/>
    </font>
    <font>
      <u val="single"/>
      <sz val="14"/>
      <name val="Angsana New"/>
      <family val="1"/>
    </font>
    <font>
      <u val="single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9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13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1" xfId="38" applyNumberFormat="1" applyFont="1" applyBorder="1" applyAlignment="1">
      <alignment horizontal="center"/>
    </xf>
    <xf numFmtId="0" fontId="0" fillId="0" borderId="11" xfId="38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43" fontId="0" fillId="0" borderId="11" xfId="36" applyFont="1" applyBorder="1" applyAlignment="1">
      <alignment horizontal="center"/>
    </xf>
    <xf numFmtId="43" fontId="3" fillId="0" borderId="11" xfId="36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43" fontId="0" fillId="0" borderId="21" xfId="36" applyNumberFormat="1" applyFont="1" applyBorder="1" applyAlignment="1">
      <alignment horizontal="right"/>
    </xf>
    <xf numFmtId="43" fontId="0" fillId="0" borderId="12" xfId="0" applyNumberFormat="1" applyBorder="1" applyAlignment="1">
      <alignment horizontal="center"/>
    </xf>
    <xf numFmtId="43" fontId="0" fillId="0" borderId="14" xfId="36" applyNumberFormat="1" applyFont="1" applyBorder="1" applyAlignment="1">
      <alignment/>
    </xf>
    <xf numFmtId="43" fontId="0" fillId="0" borderId="22" xfId="36" applyNumberFormat="1" applyFont="1" applyBorder="1" applyAlignment="1">
      <alignment/>
    </xf>
    <xf numFmtId="43" fontId="0" fillId="0" borderId="23" xfId="0" applyNumberFormat="1" applyBorder="1" applyAlignment="1">
      <alignment horizontal="center"/>
    </xf>
    <xf numFmtId="43" fontId="0" fillId="0" borderId="11" xfId="36" applyNumberFormat="1" applyFont="1" applyBorder="1" applyAlignment="1">
      <alignment/>
    </xf>
    <xf numFmtId="43" fontId="0" fillId="0" borderId="12" xfId="0" applyNumberFormat="1" applyBorder="1" applyAlignment="1" quotePrefix="1">
      <alignment horizontal="center"/>
    </xf>
    <xf numFmtId="43" fontId="0" fillId="0" borderId="21" xfId="36" applyNumberFormat="1" applyFont="1" applyBorder="1" applyAlignment="1">
      <alignment/>
    </xf>
    <xf numFmtId="43" fontId="0" fillId="0" borderId="24" xfId="36" applyNumberFormat="1" applyFont="1" applyBorder="1" applyAlignment="1">
      <alignment/>
    </xf>
    <xf numFmtId="43" fontId="0" fillId="0" borderId="20" xfId="0" applyNumberFormat="1" applyBorder="1" applyAlignment="1">
      <alignment horizontal="center"/>
    </xf>
    <xf numFmtId="43" fontId="0" fillId="0" borderId="19" xfId="36" applyNumberFormat="1" applyFont="1" applyBorder="1" applyAlignment="1">
      <alignment/>
    </xf>
    <xf numFmtId="43" fontId="0" fillId="0" borderId="11" xfId="36" applyNumberFormat="1" applyFont="1" applyBorder="1" applyAlignment="1">
      <alignment horizontal="right"/>
    </xf>
    <xf numFmtId="43" fontId="0" fillId="0" borderId="25" xfId="36" applyNumberFormat="1" applyFont="1" applyBorder="1" applyAlignment="1">
      <alignment/>
    </xf>
    <xf numFmtId="43" fontId="0" fillId="0" borderId="15" xfId="36" applyNumberFormat="1" applyFont="1" applyBorder="1" applyAlignment="1">
      <alignment/>
    </xf>
    <xf numFmtId="43" fontId="0" fillId="0" borderId="15" xfId="36" applyNumberFormat="1" applyFont="1" applyBorder="1" applyAlignment="1">
      <alignment horizontal="right"/>
    </xf>
    <xf numFmtId="43" fontId="0" fillId="0" borderId="24" xfId="36" applyNumberFormat="1" applyFont="1" applyBorder="1" applyAlignment="1">
      <alignment/>
    </xf>
    <xf numFmtId="43" fontId="0" fillId="0" borderId="26" xfId="0" applyNumberFormat="1" applyFont="1" applyBorder="1" applyAlignment="1">
      <alignment/>
    </xf>
    <xf numFmtId="43" fontId="0" fillId="0" borderId="25" xfId="36" applyNumberFormat="1" applyFont="1" applyBorder="1" applyAlignment="1">
      <alignment horizontal="right"/>
    </xf>
    <xf numFmtId="43" fontId="0" fillId="0" borderId="27" xfId="0" applyNumberFormat="1" applyFont="1" applyBorder="1" applyAlignment="1">
      <alignment horizontal="center"/>
    </xf>
    <xf numFmtId="43" fontId="0" fillId="0" borderId="18" xfId="0" applyNumberFormat="1" applyFont="1" applyBorder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18" xfId="0" applyNumberFormat="1" applyFont="1" applyBorder="1" applyAlignment="1">
      <alignment horizontal="center"/>
    </xf>
    <xf numFmtId="43" fontId="0" fillId="0" borderId="0" xfId="0" applyNumberFormat="1" applyFont="1" applyBorder="1" applyAlignment="1" quotePrefix="1">
      <alignment horizontal="center"/>
    </xf>
    <xf numFmtId="43" fontId="0" fillId="0" borderId="22" xfId="36" applyNumberFormat="1" applyFont="1" applyBorder="1" applyAlignment="1">
      <alignment horizontal="right"/>
    </xf>
    <xf numFmtId="43" fontId="0" fillId="0" borderId="20" xfId="0" applyNumberFormat="1" applyFont="1" applyBorder="1" applyAlignment="1">
      <alignment horizontal="center"/>
    </xf>
    <xf numFmtId="43" fontId="0" fillId="0" borderId="24" xfId="36" applyNumberFormat="1" applyFont="1" applyBorder="1" applyAlignment="1">
      <alignment horizontal="right"/>
    </xf>
    <xf numFmtId="43" fontId="0" fillId="0" borderId="20" xfId="0" applyNumberFormat="1" applyFont="1" applyBorder="1" applyAlignment="1" quotePrefix="1">
      <alignment horizontal="center"/>
    </xf>
    <xf numFmtId="43" fontId="0" fillId="0" borderId="0" xfId="0" applyNumberFormat="1" applyFont="1" applyAlignment="1">
      <alignment/>
    </xf>
    <xf numFmtId="43" fontId="0" fillId="0" borderId="28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3" fontId="0" fillId="0" borderId="26" xfId="0" applyNumberFormat="1" applyFont="1" applyBorder="1" applyAlignment="1">
      <alignment horizontal="center"/>
    </xf>
    <xf numFmtId="43" fontId="0" fillId="0" borderId="21" xfId="36" applyNumberFormat="1" applyFont="1" applyBorder="1" applyAlignment="1">
      <alignment horizontal="right"/>
    </xf>
    <xf numFmtId="43" fontId="0" fillId="0" borderId="10" xfId="0" applyNumberFormat="1" applyFont="1" applyBorder="1" applyAlignment="1">
      <alignment horizontal="center"/>
    </xf>
    <xf numFmtId="43" fontId="0" fillId="0" borderId="12" xfId="0" applyNumberFormat="1" applyFont="1" applyBorder="1" applyAlignment="1">
      <alignment/>
    </xf>
    <xf numFmtId="43" fontId="0" fillId="0" borderId="21" xfId="36" applyNumberFormat="1" applyFont="1" applyBorder="1" applyAlignment="1">
      <alignment/>
    </xf>
    <xf numFmtId="43" fontId="0" fillId="0" borderId="12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43" fontId="0" fillId="0" borderId="26" xfId="0" applyNumberFormat="1" applyFont="1" applyBorder="1" applyAlignment="1" quotePrefix="1">
      <alignment horizontal="center"/>
    </xf>
    <xf numFmtId="43" fontId="0" fillId="0" borderId="28" xfId="36" applyNumberFormat="1" applyFont="1" applyBorder="1" applyAlignment="1">
      <alignment horizontal="right"/>
    </xf>
    <xf numFmtId="43" fontId="0" fillId="0" borderId="18" xfId="0" applyNumberFormat="1" applyFont="1" applyBorder="1" applyAlignment="1">
      <alignment horizontal="right"/>
    </xf>
    <xf numFmtId="43" fontId="0" fillId="0" borderId="29" xfId="36" applyNumberFormat="1" applyFont="1" applyBorder="1" applyAlignment="1">
      <alignment horizontal="right"/>
    </xf>
    <xf numFmtId="43" fontId="0" fillId="0" borderId="12" xfId="0" applyNumberFormat="1" applyFont="1" applyBorder="1" applyAlignment="1">
      <alignment horizontal="right"/>
    </xf>
    <xf numFmtId="43" fontId="4" fillId="0" borderId="30" xfId="0" applyNumberFormat="1" applyFont="1" applyBorder="1" applyAlignment="1">
      <alignment horizontal="right"/>
    </xf>
    <xf numFmtId="43" fontId="4" fillId="0" borderId="27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right"/>
    </xf>
    <xf numFmtId="43" fontId="0" fillId="0" borderId="15" xfId="0" applyNumberFormat="1" applyFont="1" applyBorder="1" applyAlignment="1">
      <alignment horizontal="right"/>
    </xf>
    <xf numFmtId="43" fontId="0" fillId="0" borderId="21" xfId="0" applyNumberFormat="1" applyFont="1" applyBorder="1" applyAlignment="1">
      <alignment horizontal="right"/>
    </xf>
    <xf numFmtId="43" fontId="0" fillId="0" borderId="2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3" fontId="0" fillId="0" borderId="11" xfId="36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43" fontId="0" fillId="0" borderId="0" xfId="0" applyNumberFormat="1" applyFont="1" applyBorder="1" applyAlignment="1">
      <alignment horizontal="right"/>
    </xf>
    <xf numFmtId="43" fontId="4" fillId="0" borderId="0" xfId="0" applyNumberFormat="1" applyFont="1" applyAlignment="1">
      <alignment/>
    </xf>
    <xf numFmtId="43" fontId="0" fillId="0" borderId="0" xfId="0" applyNumberFormat="1" applyAlignment="1">
      <alignment horizontal="center"/>
    </xf>
    <xf numFmtId="0" fontId="0" fillId="0" borderId="21" xfId="0" applyBorder="1" applyAlignment="1">
      <alignment horizontal="center"/>
    </xf>
    <xf numFmtId="43" fontId="0" fillId="0" borderId="15" xfId="3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43" fontId="0" fillId="0" borderId="15" xfId="36" applyNumberFormat="1" applyFont="1" applyBorder="1" applyAlignment="1">
      <alignment horizontal="center"/>
    </xf>
    <xf numFmtId="43" fontId="0" fillId="0" borderId="16" xfId="36" applyNumberFormat="1" applyFont="1" applyBorder="1" applyAlignment="1">
      <alignment horizontal="center"/>
    </xf>
    <xf numFmtId="43" fontId="0" fillId="0" borderId="18" xfId="36" applyNumberFormat="1" applyFont="1" applyBorder="1" applyAlignment="1">
      <alignment horizontal="center"/>
    </xf>
    <xf numFmtId="43" fontId="0" fillId="0" borderId="0" xfId="36" applyFont="1" applyBorder="1" applyAlignment="1">
      <alignment horizontal="center"/>
    </xf>
    <xf numFmtId="43" fontId="0" fillId="0" borderId="0" xfId="36" applyFont="1" applyBorder="1" applyAlignment="1">
      <alignment/>
    </xf>
    <xf numFmtId="43" fontId="4" fillId="0" borderId="0" xfId="36" applyFont="1" applyBorder="1" applyAlignment="1">
      <alignment horizontal="center"/>
    </xf>
    <xf numFmtId="43" fontId="4" fillId="0" borderId="15" xfId="36" applyFont="1" applyBorder="1" applyAlignment="1">
      <alignment/>
    </xf>
    <xf numFmtId="43" fontId="4" fillId="0" borderId="18" xfId="36" applyFont="1" applyBorder="1" applyAlignment="1">
      <alignment horizontal="center"/>
    </xf>
    <xf numFmtId="43" fontId="4" fillId="0" borderId="0" xfId="36" applyNumberFormat="1" applyFont="1" applyBorder="1" applyAlignment="1">
      <alignment horizontal="center"/>
    </xf>
    <xf numFmtId="43" fontId="4" fillId="0" borderId="0" xfId="36" applyFont="1" applyBorder="1" applyAlignment="1">
      <alignment/>
    </xf>
    <xf numFmtId="43" fontId="9" fillId="0" borderId="0" xfId="36" applyFont="1" applyBorder="1" applyAlignment="1">
      <alignment/>
    </xf>
    <xf numFmtId="43" fontId="0" fillId="0" borderId="12" xfId="36" applyNumberFormat="1" applyFont="1" applyBorder="1" applyAlignment="1">
      <alignment horizontal="center"/>
    </xf>
    <xf numFmtId="43" fontId="0" fillId="0" borderId="11" xfId="36" applyNumberFormat="1" applyFont="1" applyBorder="1" applyAlignment="1">
      <alignment horizontal="center"/>
    </xf>
    <xf numFmtId="43" fontId="0" fillId="0" borderId="21" xfId="36" applyNumberFormat="1" applyFont="1" applyBorder="1" applyAlignment="1">
      <alignment horizontal="center"/>
    </xf>
    <xf numFmtId="204" fontId="0" fillId="0" borderId="11" xfId="36" applyNumberFormat="1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8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3" fontId="0" fillId="0" borderId="15" xfId="36" applyFont="1" applyBorder="1" applyAlignment="1">
      <alignment/>
    </xf>
    <xf numFmtId="43" fontId="0" fillId="0" borderId="18" xfId="36" applyFont="1" applyBorder="1" applyAlignment="1">
      <alignment/>
    </xf>
    <xf numFmtId="0" fontId="8" fillId="0" borderId="0" xfId="0" applyFont="1" applyAlignment="1">
      <alignment/>
    </xf>
    <xf numFmtId="43" fontId="0" fillId="0" borderId="18" xfId="36" applyNumberFormat="1" applyFont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2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/>
    </xf>
    <xf numFmtId="43" fontId="0" fillId="0" borderId="0" xfId="36" applyNumberFormat="1" applyFont="1" applyBorder="1" applyAlignment="1">
      <alignment/>
    </xf>
    <xf numFmtId="43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9" fontId="4" fillId="0" borderId="0" xfId="0" applyNumberFormat="1" applyFont="1" applyAlignment="1">
      <alignment horizontal="left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3" fontId="4" fillId="0" borderId="18" xfId="36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43" fontId="4" fillId="0" borderId="0" xfId="36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 horizontal="left"/>
    </xf>
    <xf numFmtId="43" fontId="4" fillId="0" borderId="13" xfId="36" applyFont="1" applyBorder="1" applyAlignment="1">
      <alignment/>
    </xf>
    <xf numFmtId="43" fontId="4" fillId="0" borderId="16" xfId="36" applyFont="1" applyBorder="1" applyAlignment="1">
      <alignment/>
    </xf>
    <xf numFmtId="43" fontId="4" fillId="0" borderId="14" xfId="36" applyFont="1" applyBorder="1" applyAlignment="1">
      <alignment/>
    </xf>
    <xf numFmtId="43" fontId="4" fillId="0" borderId="19" xfId="36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43" fontId="4" fillId="0" borderId="16" xfId="36" applyFont="1" applyBorder="1" applyAlignment="1">
      <alignment/>
    </xf>
    <xf numFmtId="43" fontId="4" fillId="0" borderId="14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3" fontId="4" fillId="0" borderId="15" xfId="36" applyNumberFormat="1" applyFont="1" applyBorder="1" applyAlignment="1">
      <alignment/>
    </xf>
    <xf numFmtId="0" fontId="0" fillId="0" borderId="18" xfId="0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2" fontId="0" fillId="0" borderId="0" xfId="0" applyNumberFormat="1" applyAlignment="1">
      <alignment/>
    </xf>
    <xf numFmtId="43" fontId="4" fillId="0" borderId="15" xfId="36" applyNumberFormat="1" applyFont="1" applyBorder="1" applyAlignment="1">
      <alignment horizontal="center"/>
    </xf>
    <xf numFmtId="43" fontId="4" fillId="0" borderId="18" xfId="36" applyNumberFormat="1" applyFont="1" applyBorder="1" applyAlignment="1">
      <alignment horizontal="center"/>
    </xf>
    <xf numFmtId="43" fontId="0" fillId="0" borderId="11" xfId="36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3" fontId="4" fillId="0" borderId="15" xfId="36" applyFont="1" applyBorder="1" applyAlignment="1">
      <alignment horizontal="center"/>
    </xf>
    <xf numFmtId="43" fontId="4" fillId="0" borderId="18" xfId="36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3" fontId="4" fillId="0" borderId="15" xfId="36" applyFont="1" applyBorder="1" applyAlignment="1">
      <alignment/>
    </xf>
    <xf numFmtId="43" fontId="4" fillId="0" borderId="18" xfId="36" applyFont="1" applyBorder="1" applyAlignment="1">
      <alignment/>
    </xf>
    <xf numFmtId="43" fontId="0" fillId="0" borderId="0" xfId="0" applyNumberFormat="1" applyAlignment="1">
      <alignment/>
    </xf>
    <xf numFmtId="43" fontId="0" fillId="0" borderId="15" xfId="36" applyFont="1" applyBorder="1" applyAlignment="1">
      <alignment horizontal="center"/>
    </xf>
    <xf numFmtId="43" fontId="0" fillId="0" borderId="18" xfId="36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5" fontId="0" fillId="0" borderId="0" xfId="0" applyNumberFormat="1" applyFont="1" applyBorder="1" applyAlignment="1">
      <alignment horizontal="center"/>
    </xf>
    <xf numFmtId="15" fontId="0" fillId="0" borderId="15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15" fontId="4" fillId="0" borderId="0" xfId="0" applyNumberFormat="1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3" fontId="4" fillId="0" borderId="0" xfId="36" applyFont="1" applyAlignment="1">
      <alignment/>
    </xf>
    <xf numFmtId="43" fontId="3" fillId="0" borderId="0" xfId="36" applyFont="1" applyAlignment="1">
      <alignment/>
    </xf>
    <xf numFmtId="43" fontId="0" fillId="0" borderId="0" xfId="36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43" fontId="0" fillId="0" borderId="16" xfId="36" applyFont="1" applyBorder="1" applyAlignment="1">
      <alignment/>
    </xf>
    <xf numFmtId="43" fontId="0" fillId="0" borderId="16" xfId="36" applyFont="1" applyBorder="1" applyAlignment="1">
      <alignment/>
    </xf>
    <xf numFmtId="43" fontId="0" fillId="0" borderId="14" xfId="36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 horizontal="center"/>
    </xf>
    <xf numFmtId="43" fontId="0" fillId="0" borderId="11" xfId="36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2" xfId="0" applyBorder="1" applyAlignment="1">
      <alignment/>
    </xf>
    <xf numFmtId="0" fontId="2" fillId="0" borderId="31" xfId="0" applyFont="1" applyBorder="1" applyAlignment="1">
      <alignment/>
    </xf>
    <xf numFmtId="43" fontId="0" fillId="0" borderId="11" xfId="36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horizontal="center"/>
    </xf>
    <xf numFmtId="43" fontId="0" fillId="0" borderId="16" xfId="36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3" fontId="0" fillId="0" borderId="0" xfId="0" applyNumberForma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22" xfId="0" applyFont="1" applyBorder="1" applyAlignment="1">
      <alignment/>
    </xf>
    <xf numFmtId="43" fontId="0" fillId="0" borderId="15" xfId="36" applyNumberFormat="1" applyFont="1" applyBorder="1" applyAlignment="1">
      <alignment/>
    </xf>
    <xf numFmtId="43" fontId="0" fillId="0" borderId="15" xfId="36" applyNumberFormat="1" applyFont="1" applyBorder="1" applyAlignment="1">
      <alignment horizontal="right"/>
    </xf>
    <xf numFmtId="43" fontId="0" fillId="0" borderId="15" xfId="0" applyNumberFormat="1" applyBorder="1" applyAlignment="1">
      <alignment/>
    </xf>
    <xf numFmtId="43" fontId="0" fillId="0" borderId="15" xfId="36" applyFont="1" applyBorder="1" applyAlignment="1">
      <alignment/>
    </xf>
    <xf numFmtId="200" fontId="0" fillId="0" borderId="11" xfId="36" applyNumberFormat="1" applyFont="1" applyBorder="1" applyAlignment="1">
      <alignment/>
    </xf>
    <xf numFmtId="200" fontId="0" fillId="0" borderId="14" xfId="36" applyNumberFormat="1" applyFont="1" applyBorder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43" fontId="2" fillId="0" borderId="14" xfId="0" applyNumberFormat="1" applyFont="1" applyBorder="1" applyAlignment="1">
      <alignment horizontal="center"/>
    </xf>
    <xf numFmtId="43" fontId="2" fillId="0" borderId="2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43" fontId="2" fillId="0" borderId="11" xfId="0" applyNumberFormat="1" applyFont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43" fontId="2" fillId="0" borderId="25" xfId="0" applyNumberFormat="1" applyFont="1" applyBorder="1" applyAlignment="1">
      <alignment horizontal="center"/>
    </xf>
    <xf numFmtId="43" fontId="2" fillId="0" borderId="26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43" fontId="0" fillId="0" borderId="15" xfId="36" applyFont="1" applyBorder="1" applyAlignment="1">
      <alignment horizontal="center"/>
    </xf>
    <xf numFmtId="43" fontId="0" fillId="0" borderId="18" xfId="36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0" xfId="0" applyFont="1" applyBorder="1" applyAlignment="1">
      <alignment/>
    </xf>
    <xf numFmtId="43" fontId="0" fillId="0" borderId="0" xfId="36" applyFont="1" applyBorder="1" applyAlignment="1">
      <alignment horizontal="center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" fontId="0" fillId="0" borderId="18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43" fontId="0" fillId="0" borderId="25" xfId="36" applyFont="1" applyBorder="1" applyAlignment="1">
      <alignment/>
    </xf>
    <xf numFmtId="43" fontId="0" fillId="0" borderId="26" xfId="36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1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15" fontId="0" fillId="0" borderId="15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43" fontId="0" fillId="0" borderId="25" xfId="36" applyFont="1" applyBorder="1" applyAlignment="1">
      <alignment horizontal="center"/>
    </xf>
    <xf numFmtId="43" fontId="0" fillId="0" borderId="26" xfId="36" applyFont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43" fontId="0" fillId="0" borderId="15" xfId="36" applyFont="1" applyBorder="1" applyAlignment="1">
      <alignment horizontal="center" vertical="top" wrapText="1"/>
    </xf>
    <xf numFmtId="43" fontId="0" fillId="0" borderId="18" xfId="36" applyFont="1" applyBorder="1" applyAlignment="1">
      <alignment horizontal="center" vertical="top" wrapText="1"/>
    </xf>
    <xf numFmtId="212" fontId="0" fillId="0" borderId="15" xfId="0" applyNumberFormat="1" applyFont="1" applyBorder="1" applyAlignment="1">
      <alignment horizontal="center" vertical="top" wrapText="1"/>
    </xf>
    <xf numFmtId="212" fontId="0" fillId="0" borderId="0" xfId="0" applyNumberFormat="1" applyFont="1" applyBorder="1" applyAlignment="1">
      <alignment horizontal="center" vertical="top" wrapText="1"/>
    </xf>
    <xf numFmtId="212" fontId="0" fillId="0" borderId="15" xfId="0" applyNumberFormat="1" applyFont="1" applyBorder="1" applyAlignment="1">
      <alignment horizontal="center"/>
    </xf>
    <xf numFmtId="212" fontId="0" fillId="0" borderId="0" xfId="0" applyNumberFormat="1" applyFont="1" applyBorder="1" applyAlignment="1">
      <alignment horizontal="center"/>
    </xf>
    <xf numFmtId="43" fontId="0" fillId="0" borderId="15" xfId="36" applyFont="1" applyBorder="1" applyAlignment="1">
      <alignment/>
    </xf>
    <xf numFmtId="43" fontId="0" fillId="0" borderId="18" xfId="36" applyFont="1" applyBorder="1" applyAlignment="1">
      <alignment/>
    </xf>
    <xf numFmtId="43" fontId="0" fillId="0" borderId="22" xfId="36" applyFont="1" applyBorder="1" applyAlignment="1">
      <alignment/>
    </xf>
    <xf numFmtId="43" fontId="0" fillId="0" borderId="23" xfId="36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2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3" fontId="4" fillId="0" borderId="15" xfId="36" applyFont="1" applyBorder="1" applyAlignment="1">
      <alignment/>
    </xf>
    <xf numFmtId="43" fontId="4" fillId="0" borderId="18" xfId="36" applyFont="1" applyBorder="1" applyAlignment="1">
      <alignment/>
    </xf>
    <xf numFmtId="43" fontId="3" fillId="0" borderId="15" xfId="36" applyFont="1" applyBorder="1" applyAlignment="1">
      <alignment horizontal="center"/>
    </xf>
    <xf numFmtId="43" fontId="3" fillId="0" borderId="18" xfId="36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3" fontId="4" fillId="0" borderId="15" xfId="36" applyFont="1" applyBorder="1" applyAlignment="1">
      <alignment horizontal="center"/>
    </xf>
    <xf numFmtId="43" fontId="4" fillId="0" borderId="18" xfId="36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3" fontId="4" fillId="0" borderId="0" xfId="36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31" xfId="0" applyFont="1" applyBorder="1" applyAlignment="1">
      <alignment/>
    </xf>
    <xf numFmtId="43" fontId="4" fillId="0" borderId="22" xfId="36" applyFont="1" applyBorder="1" applyAlignment="1">
      <alignment horizontal="center"/>
    </xf>
    <xf numFmtId="43" fontId="4" fillId="0" borderId="23" xfId="36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4" fillId="0" borderId="15" xfId="36" applyNumberFormat="1" applyFont="1" applyBorder="1" applyAlignment="1">
      <alignment/>
    </xf>
    <xf numFmtId="43" fontId="4" fillId="0" borderId="18" xfId="36" applyNumberFormat="1" applyFont="1" applyBorder="1" applyAlignment="1">
      <alignment/>
    </xf>
    <xf numFmtId="43" fontId="4" fillId="0" borderId="25" xfId="36" applyNumberFormat="1" applyFont="1" applyBorder="1" applyAlignment="1">
      <alignment/>
    </xf>
    <xf numFmtId="43" fontId="4" fillId="0" borderId="26" xfId="36" applyNumberFormat="1" applyFont="1" applyBorder="1" applyAlignment="1">
      <alignment/>
    </xf>
    <xf numFmtId="43" fontId="4" fillId="0" borderId="24" xfId="36" applyFont="1" applyBorder="1" applyAlignment="1">
      <alignment/>
    </xf>
    <xf numFmtId="43" fontId="4" fillId="0" borderId="20" xfId="36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3" fontId="4" fillId="0" borderId="15" xfId="36" applyNumberFormat="1" applyFont="1" applyBorder="1" applyAlignment="1">
      <alignment horizontal="center"/>
    </xf>
    <xf numFmtId="43" fontId="4" fillId="0" borderId="18" xfId="36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43" fontId="4" fillId="0" borderId="24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43" fontId="4" fillId="0" borderId="25" xfId="36" applyFont="1" applyBorder="1" applyAlignment="1">
      <alignment/>
    </xf>
    <xf numFmtId="43" fontId="4" fillId="0" borderId="26" xfId="36" applyFont="1" applyBorder="1" applyAlignment="1">
      <alignment/>
    </xf>
    <xf numFmtId="43" fontId="4" fillId="0" borderId="15" xfId="36" applyFont="1" applyBorder="1" applyAlignment="1">
      <alignment/>
    </xf>
    <xf numFmtId="43" fontId="4" fillId="0" borderId="18" xfId="36" applyFont="1" applyBorder="1" applyAlignment="1">
      <alignment/>
    </xf>
    <xf numFmtId="43" fontId="4" fillId="0" borderId="29" xfId="36" applyFont="1" applyBorder="1" applyAlignment="1">
      <alignment/>
    </xf>
    <xf numFmtId="43" fontId="4" fillId="0" borderId="32" xfId="36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24" xfId="36" applyNumberFormat="1" applyFont="1" applyBorder="1" applyAlignment="1">
      <alignment/>
    </xf>
    <xf numFmtId="43" fontId="4" fillId="0" borderId="20" xfId="36" applyNumberFormat="1" applyFont="1" applyBorder="1" applyAlignment="1">
      <alignment/>
    </xf>
    <xf numFmtId="43" fontId="4" fillId="0" borderId="20" xfId="0" applyNumberFormat="1" applyFont="1" applyBorder="1" applyAlignment="1">
      <alignment/>
    </xf>
    <xf numFmtId="43" fontId="4" fillId="0" borderId="0" xfId="36" applyNumberFormat="1" applyFont="1" applyBorder="1" applyAlignment="1">
      <alignment/>
    </xf>
    <xf numFmtId="43" fontId="4" fillId="0" borderId="15" xfId="0" applyNumberFormat="1" applyFont="1" applyBorder="1" applyAlignment="1">
      <alignment/>
    </xf>
    <xf numFmtId="0" fontId="4" fillId="0" borderId="18" xfId="0" applyFont="1" applyBorder="1" applyAlignment="1">
      <alignment horizontal="left"/>
    </xf>
    <xf numFmtId="43" fontId="4" fillId="0" borderId="22" xfId="36" applyFont="1" applyBorder="1" applyAlignment="1">
      <alignment/>
    </xf>
    <xf numFmtId="43" fontId="4" fillId="0" borderId="23" xfId="36" applyFont="1" applyBorder="1" applyAlignment="1">
      <alignment/>
    </xf>
    <xf numFmtId="43" fontId="4" fillId="0" borderId="21" xfId="36" applyFont="1" applyBorder="1" applyAlignment="1">
      <alignment/>
    </xf>
    <xf numFmtId="43" fontId="4" fillId="0" borderId="12" xfId="36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22" xfId="36" applyNumberFormat="1" applyFont="1" applyBorder="1" applyAlignment="1">
      <alignment/>
    </xf>
    <xf numFmtId="43" fontId="4" fillId="0" borderId="23" xfId="36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3" fontId="4" fillId="0" borderId="15" xfId="36" applyNumberFormat="1" applyFont="1" applyBorder="1" applyAlignment="1">
      <alignment horizontal="right"/>
    </xf>
    <xf numFmtId="43" fontId="4" fillId="0" borderId="18" xfId="36" applyNumberFormat="1" applyFont="1" applyBorder="1" applyAlignment="1">
      <alignment horizontal="right"/>
    </xf>
    <xf numFmtId="43" fontId="4" fillId="0" borderId="15" xfId="36" applyFont="1" applyBorder="1" applyAlignment="1">
      <alignment horizontal="right"/>
    </xf>
    <xf numFmtId="43" fontId="4" fillId="0" borderId="18" xfId="36" applyFont="1" applyBorder="1" applyAlignment="1">
      <alignment horizontal="right"/>
    </xf>
    <xf numFmtId="205" fontId="4" fillId="0" borderId="15" xfId="36" applyNumberFormat="1" applyFont="1" applyBorder="1" applyAlignment="1">
      <alignment horizontal="right"/>
    </xf>
    <xf numFmtId="205" fontId="4" fillId="0" borderId="18" xfId="36" applyNumberFormat="1" applyFont="1" applyBorder="1" applyAlignment="1">
      <alignment horizontal="right"/>
    </xf>
    <xf numFmtId="0" fontId="0" fillId="0" borderId="18" xfId="0" applyBorder="1" applyAlignment="1">
      <alignment/>
    </xf>
    <xf numFmtId="15" fontId="4" fillId="0" borderId="0" xfId="0" applyNumberFormat="1" applyFont="1" applyAlignment="1" quotePrefix="1">
      <alignment horizontal="left"/>
    </xf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5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733425</xdr:colOff>
      <xdr:row>30</xdr:row>
      <xdr:rowOff>9525</xdr:rowOff>
    </xdr:from>
    <xdr:to>
      <xdr:col>14</xdr:col>
      <xdr:colOff>742950</xdr:colOff>
      <xdr:row>33</xdr:row>
      <xdr:rowOff>28575</xdr:rowOff>
    </xdr:to>
    <xdr:sp>
      <xdr:nvSpPr>
        <xdr:cNvPr id="1" name="ตัวเชื่อมต่อตรง 2"/>
        <xdr:cNvSpPr>
          <a:spLocks/>
        </xdr:cNvSpPr>
      </xdr:nvSpPr>
      <xdr:spPr>
        <a:xfrm rot="16200000" flipH="1">
          <a:off x="7534275" y="896302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17</xdr:col>
      <xdr:colOff>209550</xdr:colOff>
      <xdr:row>30</xdr:row>
      <xdr:rowOff>0</xdr:rowOff>
    </xdr:from>
    <xdr:to>
      <xdr:col>17</xdr:col>
      <xdr:colOff>219075</xdr:colOff>
      <xdr:row>33</xdr:row>
      <xdr:rowOff>19050</xdr:rowOff>
    </xdr:to>
    <xdr:sp>
      <xdr:nvSpPr>
        <xdr:cNvPr id="2" name="ตัวเชื่อมต่อตรง 8"/>
        <xdr:cNvSpPr>
          <a:spLocks/>
        </xdr:cNvSpPr>
      </xdr:nvSpPr>
      <xdr:spPr>
        <a:xfrm rot="16200000" flipH="1">
          <a:off x="9629775" y="895350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733425</xdr:colOff>
      <xdr:row>62</xdr:row>
      <xdr:rowOff>9525</xdr:rowOff>
    </xdr:from>
    <xdr:to>
      <xdr:col>14</xdr:col>
      <xdr:colOff>742950</xdr:colOff>
      <xdr:row>65</xdr:row>
      <xdr:rowOff>0</xdr:rowOff>
    </xdr:to>
    <xdr:sp>
      <xdr:nvSpPr>
        <xdr:cNvPr id="3" name="ตัวเชื่อมต่อตรง 9"/>
        <xdr:cNvSpPr>
          <a:spLocks/>
        </xdr:cNvSpPr>
      </xdr:nvSpPr>
      <xdr:spPr>
        <a:xfrm rot="16200000" flipH="1">
          <a:off x="7534275" y="18526125"/>
          <a:ext cx="95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17</xdr:col>
      <xdr:colOff>209550</xdr:colOff>
      <xdr:row>62</xdr:row>
      <xdr:rowOff>0</xdr:rowOff>
    </xdr:from>
    <xdr:to>
      <xdr:col>17</xdr:col>
      <xdr:colOff>219075</xdr:colOff>
      <xdr:row>65</xdr:row>
      <xdr:rowOff>0</xdr:rowOff>
    </xdr:to>
    <xdr:sp>
      <xdr:nvSpPr>
        <xdr:cNvPr id="4" name="ตัวเชื่อมต่อตรง 10"/>
        <xdr:cNvSpPr>
          <a:spLocks/>
        </xdr:cNvSpPr>
      </xdr:nvSpPr>
      <xdr:spPr>
        <a:xfrm rot="16200000" flipH="1">
          <a:off x="9629775" y="18516600"/>
          <a:ext cx="95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533400</xdr:colOff>
      <xdr:row>125</xdr:row>
      <xdr:rowOff>9525</xdr:rowOff>
    </xdr:from>
    <xdr:to>
      <xdr:col>3</xdr:col>
      <xdr:colOff>533400</xdr:colOff>
      <xdr:row>128</xdr:row>
      <xdr:rowOff>28575</xdr:rowOff>
    </xdr:to>
    <xdr:sp>
      <xdr:nvSpPr>
        <xdr:cNvPr id="5" name="ตัวเชื่อมต่อตรง 11"/>
        <xdr:cNvSpPr>
          <a:spLocks/>
        </xdr:cNvSpPr>
      </xdr:nvSpPr>
      <xdr:spPr>
        <a:xfrm rot="16200000" flipH="1">
          <a:off x="2419350" y="372141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209550</xdr:colOff>
      <xdr:row>125</xdr:row>
      <xdr:rowOff>0</xdr:rowOff>
    </xdr:from>
    <xdr:to>
      <xdr:col>6</xdr:col>
      <xdr:colOff>209550</xdr:colOff>
      <xdr:row>128</xdr:row>
      <xdr:rowOff>19050</xdr:rowOff>
    </xdr:to>
    <xdr:sp>
      <xdr:nvSpPr>
        <xdr:cNvPr id="6" name="ตัวเชื่อมต่อตรง 12"/>
        <xdr:cNvSpPr>
          <a:spLocks/>
        </xdr:cNvSpPr>
      </xdr:nvSpPr>
      <xdr:spPr>
        <a:xfrm rot="16200000" flipH="1">
          <a:off x="3848100" y="372046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8">
      <selection activeCell="F19" sqref="F19"/>
    </sheetView>
  </sheetViews>
  <sheetFormatPr defaultColWidth="9.33203125" defaultRowHeight="21"/>
  <cols>
    <col min="1" max="1" width="18.83203125" style="0" customWidth="1"/>
    <col min="2" max="2" width="4.33203125" style="0" customWidth="1"/>
    <col min="3" max="3" width="18.83203125" style="0" customWidth="1"/>
    <col min="4" max="4" width="4" style="0" customWidth="1"/>
    <col min="5" max="5" width="11" style="0" customWidth="1"/>
    <col min="6" max="6" width="22.33203125" style="0" customWidth="1"/>
    <col min="7" max="7" width="0.1640625" style="0" customWidth="1"/>
    <col min="8" max="8" width="22.33203125" style="0" customWidth="1"/>
    <col min="9" max="9" width="18.66015625" style="0" hidden="1" customWidth="1"/>
    <col min="10" max="10" width="0.328125" style="0" hidden="1" customWidth="1"/>
    <col min="11" max="11" width="16" style="0" customWidth="1"/>
    <col min="12" max="12" width="14.16015625" style="0" bestFit="1" customWidth="1"/>
    <col min="13" max="13" width="10.66015625" style="0" bestFit="1" customWidth="1"/>
    <col min="19" max="19" width="12.16015625" style="0" customWidth="1"/>
  </cols>
  <sheetData>
    <row r="1" spans="1:14" ht="2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N1" s="5"/>
    </row>
    <row r="2" spans="1:10" ht="21">
      <c r="A2" s="7"/>
      <c r="B2" s="7"/>
      <c r="C2" s="7"/>
      <c r="D2" s="7"/>
      <c r="E2" s="7" t="s">
        <v>1</v>
      </c>
      <c r="F2" s="7"/>
      <c r="G2" s="7"/>
      <c r="H2" s="7"/>
      <c r="I2" s="7"/>
      <c r="J2" s="7"/>
    </row>
    <row r="3" spans="1:10" ht="21">
      <c r="A3" s="289" t="s">
        <v>636</v>
      </c>
      <c r="B3" s="290"/>
      <c r="C3" s="290"/>
      <c r="D3" s="290"/>
      <c r="E3" s="290"/>
      <c r="F3" s="290"/>
      <c r="G3" s="290"/>
      <c r="H3" s="290"/>
      <c r="I3" s="7"/>
      <c r="J3" s="7"/>
    </row>
    <row r="4" spans="1:10" ht="21">
      <c r="A4" s="285" t="s">
        <v>2</v>
      </c>
      <c r="B4" s="286"/>
      <c r="C4" s="286"/>
      <c r="D4" s="287"/>
      <c r="E4" s="4" t="s">
        <v>3</v>
      </c>
      <c r="F4" s="285" t="s">
        <v>136</v>
      </c>
      <c r="G4" s="287"/>
      <c r="H4" s="49" t="s">
        <v>137</v>
      </c>
      <c r="I4" s="2"/>
      <c r="J4" s="6"/>
    </row>
    <row r="5" spans="1:10" ht="21">
      <c r="A5" s="282" t="s">
        <v>4</v>
      </c>
      <c r="B5" s="283"/>
      <c r="C5" s="283"/>
      <c r="D5" s="284"/>
      <c r="E5" s="41" t="s">
        <v>211</v>
      </c>
      <c r="F5" s="50">
        <v>0</v>
      </c>
      <c r="G5" s="51"/>
      <c r="H5" s="52"/>
      <c r="I5" s="45"/>
      <c r="J5" s="3"/>
    </row>
    <row r="6" spans="1:11" ht="21">
      <c r="A6" s="282" t="s">
        <v>5</v>
      </c>
      <c r="B6" s="283"/>
      <c r="C6" s="283"/>
      <c r="D6" s="284"/>
      <c r="E6" s="41" t="s">
        <v>212</v>
      </c>
      <c r="F6" s="53">
        <v>9942134.95</v>
      </c>
      <c r="G6" s="54"/>
      <c r="H6" s="55"/>
      <c r="I6" s="45"/>
      <c r="J6" s="3"/>
      <c r="K6" s="273">
        <f>SUM(F6)</f>
        <v>9942134.95</v>
      </c>
    </row>
    <row r="7" spans="1:11" ht="21">
      <c r="A7" s="282" t="s">
        <v>6</v>
      </c>
      <c r="B7" s="283"/>
      <c r="C7" s="283"/>
      <c r="D7" s="284"/>
      <c r="E7" s="41" t="s">
        <v>212</v>
      </c>
      <c r="F7" s="50">
        <v>386100.26</v>
      </c>
      <c r="G7" s="56"/>
      <c r="H7" s="55"/>
      <c r="I7" s="45"/>
      <c r="J7" s="3"/>
      <c r="K7" s="274">
        <f>SUM(F7)</f>
        <v>386100.26</v>
      </c>
    </row>
    <row r="8" spans="1:11" ht="21">
      <c r="A8" s="282" t="s">
        <v>7</v>
      </c>
      <c r="B8" s="283"/>
      <c r="C8" s="283"/>
      <c r="D8" s="284"/>
      <c r="E8" s="41" t="s">
        <v>213</v>
      </c>
      <c r="F8" s="50">
        <v>9594.72</v>
      </c>
      <c r="G8" s="51"/>
      <c r="H8" s="55"/>
      <c r="I8" s="45"/>
      <c r="J8" s="3"/>
      <c r="K8" s="274">
        <f>SUM(F8)</f>
        <v>9594.72</v>
      </c>
    </row>
    <row r="9" spans="1:11" ht="21">
      <c r="A9" s="282" t="s">
        <v>166</v>
      </c>
      <c r="B9" s="283"/>
      <c r="C9" s="283"/>
      <c r="D9" s="284"/>
      <c r="E9" s="41" t="s">
        <v>212</v>
      </c>
      <c r="F9" s="50">
        <v>10025129.56</v>
      </c>
      <c r="G9" s="51"/>
      <c r="H9" s="55"/>
      <c r="I9" s="45"/>
      <c r="J9" s="3"/>
      <c r="K9" s="274">
        <f>SUM(F9)</f>
        <v>10025129.56</v>
      </c>
    </row>
    <row r="10" spans="1:11" ht="21">
      <c r="A10" s="282" t="s">
        <v>588</v>
      </c>
      <c r="B10" s="283"/>
      <c r="C10" s="283"/>
      <c r="D10" s="284"/>
      <c r="E10" s="41" t="s">
        <v>589</v>
      </c>
      <c r="F10" s="50">
        <v>0</v>
      </c>
      <c r="G10" s="51"/>
      <c r="H10" s="55"/>
      <c r="I10" s="45"/>
      <c r="J10" s="3"/>
      <c r="K10" s="275">
        <f>SUM(K6:K9)</f>
        <v>20362959.490000002</v>
      </c>
    </row>
    <row r="11" spans="1:11" ht="21">
      <c r="A11" s="282" t="s">
        <v>9</v>
      </c>
      <c r="B11" s="283"/>
      <c r="C11" s="283"/>
      <c r="D11" s="284"/>
      <c r="E11" s="42">
        <v>110605</v>
      </c>
      <c r="F11" s="50">
        <v>24450</v>
      </c>
      <c r="G11" s="51">
        <v>0</v>
      </c>
      <c r="H11" s="55"/>
      <c r="I11" s="45"/>
      <c r="J11" s="3"/>
      <c r="K11" s="215">
        <f>SUM(F10)</f>
        <v>0</v>
      </c>
    </row>
    <row r="12" spans="1:11" ht="21">
      <c r="A12" s="282" t="s">
        <v>10</v>
      </c>
      <c r="B12" s="283"/>
      <c r="C12" s="283"/>
      <c r="D12" s="284"/>
      <c r="E12" s="41" t="s">
        <v>165</v>
      </c>
      <c r="F12" s="50">
        <v>0</v>
      </c>
      <c r="G12" s="51"/>
      <c r="H12" s="55"/>
      <c r="I12" s="45"/>
      <c r="J12" s="3"/>
      <c r="K12" s="215">
        <f>SUM(K10:K11)</f>
        <v>20362959.490000002</v>
      </c>
    </row>
    <row r="13" spans="1:11" ht="21">
      <c r="A13" s="282" t="s">
        <v>11</v>
      </c>
      <c r="B13" s="283"/>
      <c r="C13" s="283"/>
      <c r="D13" s="284"/>
      <c r="E13" s="4">
        <v>110300</v>
      </c>
      <c r="F13" s="50">
        <v>0</v>
      </c>
      <c r="G13" s="51"/>
      <c r="H13" s="55"/>
      <c r="I13" s="45"/>
      <c r="J13" s="3"/>
      <c r="K13">
        <v>157815</v>
      </c>
    </row>
    <row r="14" spans="1:11" ht="21">
      <c r="A14" s="282" t="s">
        <v>18</v>
      </c>
      <c r="B14" s="283"/>
      <c r="C14" s="283"/>
      <c r="D14" s="284"/>
      <c r="E14" s="4">
        <v>510000</v>
      </c>
      <c r="F14" s="50">
        <v>497900</v>
      </c>
      <c r="G14" s="51"/>
      <c r="H14" s="55"/>
      <c r="I14" s="45"/>
      <c r="J14" s="3"/>
      <c r="K14">
        <v>16738</v>
      </c>
    </row>
    <row r="15" spans="1:11" ht="21">
      <c r="A15" s="282" t="s">
        <v>215</v>
      </c>
      <c r="B15" s="283"/>
      <c r="C15" s="283"/>
      <c r="D15" s="284"/>
      <c r="E15" s="4">
        <v>521000</v>
      </c>
      <c r="F15" s="57">
        <v>1705900</v>
      </c>
      <c r="G15" s="51"/>
      <c r="H15" s="55"/>
      <c r="I15" s="45"/>
      <c r="J15" s="3"/>
      <c r="K15">
        <f>SUM(K13:K14)</f>
        <v>174553</v>
      </c>
    </row>
    <row r="16" spans="1:13" ht="21">
      <c r="A16" s="282" t="s">
        <v>216</v>
      </c>
      <c r="B16" s="283"/>
      <c r="C16" s="283"/>
      <c r="D16" s="284"/>
      <c r="E16" s="4">
        <v>522000</v>
      </c>
      <c r="F16" s="57">
        <v>2860494</v>
      </c>
      <c r="G16" s="51"/>
      <c r="H16" s="55"/>
      <c r="I16" s="45"/>
      <c r="J16" s="3"/>
      <c r="K16">
        <v>2467706</v>
      </c>
      <c r="L16">
        <v>224925</v>
      </c>
      <c r="M16">
        <f>SUM(K16:L16)</f>
        <v>2692631</v>
      </c>
    </row>
    <row r="17" spans="1:10" ht="21">
      <c r="A17" s="282" t="s">
        <v>12</v>
      </c>
      <c r="B17" s="283"/>
      <c r="C17" s="283"/>
      <c r="D17" s="284"/>
      <c r="E17" s="4">
        <v>531000</v>
      </c>
      <c r="F17" s="57">
        <v>141679</v>
      </c>
      <c r="G17" s="51"/>
      <c r="H17" s="55"/>
      <c r="I17" s="45"/>
      <c r="J17" s="3"/>
    </row>
    <row r="18" spans="1:13" ht="21">
      <c r="A18" s="282" t="s">
        <v>13</v>
      </c>
      <c r="B18" s="283"/>
      <c r="C18" s="283"/>
      <c r="D18" s="284"/>
      <c r="E18" s="4">
        <v>532000</v>
      </c>
      <c r="F18" s="57">
        <v>1225292.92</v>
      </c>
      <c r="G18" s="51"/>
      <c r="H18" s="55"/>
      <c r="I18" s="45"/>
      <c r="J18" s="3"/>
      <c r="K18">
        <v>1097415.64</v>
      </c>
      <c r="L18">
        <v>228673.5</v>
      </c>
      <c r="M18" s="201">
        <f>SUM(K18:L18)</f>
        <v>1326089.14</v>
      </c>
    </row>
    <row r="19" spans="1:13" ht="21">
      <c r="A19" s="282" t="s">
        <v>14</v>
      </c>
      <c r="B19" s="283"/>
      <c r="C19" s="283"/>
      <c r="D19" s="284"/>
      <c r="E19" s="4">
        <v>533000</v>
      </c>
      <c r="F19" s="57">
        <v>989100</v>
      </c>
      <c r="G19" s="51"/>
      <c r="H19" s="55"/>
      <c r="I19" s="45"/>
      <c r="J19" s="3"/>
      <c r="K19">
        <v>715026.2</v>
      </c>
      <c r="L19">
        <v>181434.44</v>
      </c>
      <c r="M19">
        <f>SUM(K19:L19)</f>
        <v>896460.6399999999</v>
      </c>
    </row>
    <row r="20" spans="1:10" ht="21">
      <c r="A20" s="282" t="s">
        <v>15</v>
      </c>
      <c r="B20" s="283"/>
      <c r="C20" s="283"/>
      <c r="D20" s="284"/>
      <c r="E20" s="4">
        <v>534000</v>
      </c>
      <c r="F20" s="57">
        <v>146650.63</v>
      </c>
      <c r="G20" s="51"/>
      <c r="H20" s="55"/>
      <c r="I20" s="45"/>
      <c r="J20" s="3"/>
    </row>
    <row r="21" spans="1:10" ht="21">
      <c r="A21" s="282" t="s">
        <v>16</v>
      </c>
      <c r="B21" s="283"/>
      <c r="C21" s="283"/>
      <c r="D21" s="284"/>
      <c r="E21" s="4">
        <v>541000</v>
      </c>
      <c r="F21" s="50">
        <v>239436.5</v>
      </c>
      <c r="G21" s="51"/>
      <c r="H21" s="55"/>
      <c r="I21" s="45"/>
      <c r="J21" s="3"/>
    </row>
    <row r="22" spans="1:13" ht="21">
      <c r="A22" s="282" t="s">
        <v>17</v>
      </c>
      <c r="B22" s="283"/>
      <c r="C22" s="283"/>
      <c r="D22" s="284"/>
      <c r="E22" s="4">
        <v>542000</v>
      </c>
      <c r="F22" s="50">
        <f>95000+28800+6000</f>
        <v>129800</v>
      </c>
      <c r="G22" s="51"/>
      <c r="H22" s="55"/>
      <c r="I22" s="45"/>
      <c r="J22" s="3"/>
      <c r="K22">
        <v>34600</v>
      </c>
      <c r="L22">
        <v>258340</v>
      </c>
      <c r="M22">
        <f>SUM(K22:L22)</f>
        <v>292940</v>
      </c>
    </row>
    <row r="23" spans="1:10" ht="21">
      <c r="A23" s="282" t="s">
        <v>19</v>
      </c>
      <c r="B23" s="283"/>
      <c r="C23" s="283"/>
      <c r="D23" s="284"/>
      <c r="E23" s="4">
        <v>560000</v>
      </c>
      <c r="F23" s="50">
        <v>696000</v>
      </c>
      <c r="G23" s="51"/>
      <c r="H23" s="55"/>
      <c r="I23" s="45"/>
      <c r="J23" s="3"/>
    </row>
    <row r="24" spans="1:10" ht="21">
      <c r="A24" s="282" t="s">
        <v>151</v>
      </c>
      <c r="B24" s="283"/>
      <c r="C24" s="283"/>
      <c r="D24" s="284"/>
      <c r="E24" s="4">
        <v>550000</v>
      </c>
      <c r="F24" s="50"/>
      <c r="G24" s="51"/>
      <c r="H24" s="55"/>
      <c r="I24" s="45"/>
      <c r="J24" s="3"/>
    </row>
    <row r="25" spans="1:13" ht="21">
      <c r="A25" s="282" t="s">
        <v>20</v>
      </c>
      <c r="B25" s="283"/>
      <c r="C25" s="283"/>
      <c r="D25" s="284"/>
      <c r="E25" s="4">
        <v>400000</v>
      </c>
      <c r="F25" s="57"/>
      <c r="G25" s="51"/>
      <c r="H25" s="55">
        <v>20105667.45</v>
      </c>
      <c r="I25" s="45"/>
      <c r="J25" s="43"/>
      <c r="K25" s="276">
        <v>266855.63</v>
      </c>
      <c r="L25" s="5"/>
      <c r="M25">
        <v>3454300</v>
      </c>
    </row>
    <row r="26" spans="1:13" ht="21">
      <c r="A26" s="282" t="s">
        <v>21</v>
      </c>
      <c r="B26" s="283"/>
      <c r="C26" s="283"/>
      <c r="D26" s="284"/>
      <c r="E26" s="4">
        <v>230100</v>
      </c>
      <c r="F26" s="57"/>
      <c r="G26" s="51"/>
      <c r="H26" s="55">
        <f>SUM(รายละเอียดประกอบงบ!D17)</f>
        <v>563035.8300000001</v>
      </c>
      <c r="I26" s="45"/>
      <c r="J26" s="4"/>
      <c r="K26" s="276">
        <v>1800983.69</v>
      </c>
      <c r="M26">
        <v>254500</v>
      </c>
    </row>
    <row r="27" spans="1:13" ht="21">
      <c r="A27" s="282" t="s">
        <v>158</v>
      </c>
      <c r="B27" s="283"/>
      <c r="C27" s="283"/>
      <c r="D27" s="284"/>
      <c r="E27" s="4">
        <v>210500</v>
      </c>
      <c r="F27" s="57">
        <v>0</v>
      </c>
      <c r="G27" s="51"/>
      <c r="H27" s="61">
        <v>2828</v>
      </c>
      <c r="I27" s="45"/>
      <c r="J27" s="4"/>
      <c r="K27" s="215">
        <v>6003161.65</v>
      </c>
      <c r="M27">
        <v>323155</v>
      </c>
    </row>
    <row r="28" spans="1:13" ht="21">
      <c r="A28" s="282" t="s">
        <v>22</v>
      </c>
      <c r="B28" s="283"/>
      <c r="C28" s="283"/>
      <c r="D28" s="284"/>
      <c r="E28" s="4">
        <v>210402</v>
      </c>
      <c r="F28" s="57">
        <v>0</v>
      </c>
      <c r="G28" s="51"/>
      <c r="H28" s="61">
        <v>0</v>
      </c>
      <c r="I28" s="45"/>
      <c r="J28" s="4"/>
      <c r="K28" s="236">
        <v>1397020.73</v>
      </c>
      <c r="M28">
        <v>13000</v>
      </c>
    </row>
    <row r="29" spans="1:13" ht="21">
      <c r="A29" s="288" t="s">
        <v>40</v>
      </c>
      <c r="B29" s="283"/>
      <c r="C29" s="283"/>
      <c r="D29" s="284"/>
      <c r="E29" s="4">
        <v>441000</v>
      </c>
      <c r="F29" s="57">
        <f>1148500+199000+2547400+3330+72000+120000+24450+314700+24500+311700+24500+52700</f>
        <v>4842780</v>
      </c>
      <c r="G29" s="51"/>
      <c r="H29" s="61" t="s">
        <v>146</v>
      </c>
      <c r="I29" s="45"/>
      <c r="J29" s="4"/>
      <c r="K29" s="270">
        <v>2507269.07</v>
      </c>
      <c r="M29">
        <f>SUM(M25:M28)</f>
        <v>4044955</v>
      </c>
    </row>
    <row r="30" spans="1:11" ht="21">
      <c r="A30" s="282" t="s">
        <v>24</v>
      </c>
      <c r="B30" s="283"/>
      <c r="C30" s="283"/>
      <c r="D30" s="284"/>
      <c r="E30" s="4">
        <v>300000</v>
      </c>
      <c r="F30" s="57"/>
      <c r="G30" s="51"/>
      <c r="H30" s="55">
        <v>5018819.25</v>
      </c>
      <c r="I30" s="45"/>
      <c r="J30" s="4"/>
      <c r="K30" s="236">
        <v>280.85</v>
      </c>
    </row>
    <row r="31" spans="1:11" ht="21">
      <c r="A31" s="282" t="s">
        <v>25</v>
      </c>
      <c r="B31" s="283"/>
      <c r="C31" s="283"/>
      <c r="D31" s="284"/>
      <c r="E31" s="4">
        <v>320000</v>
      </c>
      <c r="F31" s="57"/>
      <c r="G31" s="51"/>
      <c r="H31" s="55">
        <v>8172092.01</v>
      </c>
      <c r="I31" s="45"/>
      <c r="J31" s="4"/>
      <c r="K31" s="270">
        <v>3459764.81</v>
      </c>
    </row>
    <row r="32" spans="6:11" ht="21.75" thickBot="1">
      <c r="F32" s="58">
        <f>SUM(F5:F31)</f>
        <v>33862442.54000001</v>
      </c>
      <c r="G32" s="59"/>
      <c r="H32" s="60">
        <f>SUM(H25:H31)</f>
        <v>33862442.54</v>
      </c>
      <c r="I32" s="46"/>
      <c r="J32" s="44"/>
      <c r="K32" s="236">
        <v>321345.45</v>
      </c>
    </row>
    <row r="33" spans="6:12" ht="21.75" thickTop="1">
      <c r="F33" s="152"/>
      <c r="G33" s="153"/>
      <c r="H33" s="152"/>
      <c r="I33" s="5"/>
      <c r="J33" s="154"/>
      <c r="K33" s="270">
        <v>1281034.1</v>
      </c>
      <c r="L33" s="215">
        <v>31083920.84</v>
      </c>
    </row>
    <row r="34" spans="6:12" ht="21">
      <c r="F34" s="152"/>
      <c r="G34" s="153"/>
      <c r="H34" s="152"/>
      <c r="I34" s="5"/>
      <c r="J34" s="154"/>
      <c r="K34" s="215">
        <v>1729789.23</v>
      </c>
      <c r="L34">
        <v>31083939.99</v>
      </c>
    </row>
    <row r="35" spans="6:12" ht="21">
      <c r="F35" s="152"/>
      <c r="G35" s="153"/>
      <c r="H35" s="152"/>
      <c r="I35" s="5"/>
      <c r="J35" s="154"/>
      <c r="K35" s="215">
        <f>SUM(K25:K34)</f>
        <v>18767505.21</v>
      </c>
      <c r="L35" s="215">
        <f>SUM(L33-L34)</f>
        <v>-19.149999998509884</v>
      </c>
    </row>
    <row r="36" spans="1:11" ht="21">
      <c r="A36" s="1"/>
      <c r="B36" s="1"/>
      <c r="C36" s="1"/>
      <c r="D36" s="1"/>
      <c r="E36" s="1" t="s">
        <v>0</v>
      </c>
      <c r="F36" s="1"/>
      <c r="G36" s="1"/>
      <c r="H36" s="1"/>
      <c r="K36" s="270">
        <v>1338162.24</v>
      </c>
    </row>
    <row r="37" spans="1:11" ht="21">
      <c r="A37" s="7"/>
      <c r="B37" s="7"/>
      <c r="C37" s="7"/>
      <c r="D37" s="7"/>
      <c r="E37" s="7" t="s">
        <v>1</v>
      </c>
      <c r="F37" s="7"/>
      <c r="G37" s="7"/>
      <c r="H37" s="7"/>
      <c r="K37" s="215">
        <f>SUM(K35:K36)</f>
        <v>20105667.45</v>
      </c>
    </row>
    <row r="38" spans="1:8" ht="21">
      <c r="A38" s="289" t="s">
        <v>343</v>
      </c>
      <c r="B38" s="290"/>
      <c r="C38" s="290"/>
      <c r="D38" s="290"/>
      <c r="E38" s="290"/>
      <c r="F38" s="290"/>
      <c r="G38" s="290"/>
      <c r="H38" s="290"/>
    </row>
    <row r="39" spans="1:19" ht="21">
      <c r="A39" s="285" t="s">
        <v>2</v>
      </c>
      <c r="B39" s="286"/>
      <c r="C39" s="286"/>
      <c r="D39" s="287"/>
      <c r="E39" s="4" t="s">
        <v>3</v>
      </c>
      <c r="F39" s="285" t="s">
        <v>136</v>
      </c>
      <c r="G39" s="287"/>
      <c r="H39" s="49" t="s">
        <v>137</v>
      </c>
      <c r="S39" s="201">
        <v>3961718.76</v>
      </c>
    </row>
    <row r="40" spans="1:19" ht="21">
      <c r="A40" s="282" t="s">
        <v>4</v>
      </c>
      <c r="B40" s="283"/>
      <c r="C40" s="283"/>
      <c r="D40" s="284"/>
      <c r="E40" s="41" t="s">
        <v>211</v>
      </c>
      <c r="F40" s="50">
        <v>0</v>
      </c>
      <c r="G40" s="51"/>
      <c r="H40" s="52"/>
      <c r="S40" s="201">
        <v>635297.43</v>
      </c>
    </row>
    <row r="41" spans="1:19" ht="21">
      <c r="A41" s="282" t="s">
        <v>5</v>
      </c>
      <c r="B41" s="283"/>
      <c r="C41" s="283"/>
      <c r="D41" s="284"/>
      <c r="E41" s="41" t="s">
        <v>212</v>
      </c>
      <c r="F41" s="53">
        <v>4200306.54</v>
      </c>
      <c r="G41" s="54"/>
      <c r="H41" s="55"/>
      <c r="S41" s="201">
        <v>910232.78</v>
      </c>
    </row>
    <row r="42" spans="1:19" ht="21">
      <c r="A42" s="282" t="s">
        <v>6</v>
      </c>
      <c r="B42" s="283"/>
      <c r="C42" s="283"/>
      <c r="D42" s="284"/>
      <c r="E42" s="41" t="s">
        <v>212</v>
      </c>
      <c r="F42" s="50">
        <v>295973.48</v>
      </c>
      <c r="G42" s="56"/>
      <c r="H42" s="55"/>
      <c r="S42" s="201">
        <v>5943201.97</v>
      </c>
    </row>
    <row r="43" spans="1:19" ht="21">
      <c r="A43" s="282" t="s">
        <v>7</v>
      </c>
      <c r="B43" s="283"/>
      <c r="C43" s="283"/>
      <c r="D43" s="284"/>
      <c r="E43" s="41" t="s">
        <v>213</v>
      </c>
      <c r="F43" s="50">
        <v>246342.12</v>
      </c>
      <c r="G43" s="51"/>
      <c r="H43" s="55"/>
      <c r="S43" s="201">
        <f>SUM(S39:S42)</f>
        <v>11450450.94</v>
      </c>
    </row>
    <row r="44" spans="1:8" ht="21">
      <c r="A44" s="282" t="s">
        <v>166</v>
      </c>
      <c r="B44" s="283"/>
      <c r="C44" s="283"/>
      <c r="D44" s="284"/>
      <c r="E44" s="41" t="s">
        <v>212</v>
      </c>
      <c r="F44" s="50">
        <v>5957783.03</v>
      </c>
      <c r="G44" s="51"/>
      <c r="H44" s="55"/>
    </row>
    <row r="45" spans="1:8" ht="21">
      <c r="A45" s="282" t="s">
        <v>8</v>
      </c>
      <c r="B45" s="283"/>
      <c r="C45" s="283"/>
      <c r="D45" s="284"/>
      <c r="E45" s="41" t="s">
        <v>214</v>
      </c>
      <c r="F45" s="50">
        <v>0</v>
      </c>
      <c r="G45" s="51"/>
      <c r="H45" s="55"/>
    </row>
    <row r="46" spans="1:8" ht="21">
      <c r="A46" s="282" t="s">
        <v>9</v>
      </c>
      <c r="B46" s="283"/>
      <c r="C46" s="283"/>
      <c r="D46" s="284"/>
      <c r="E46" s="42">
        <v>110605</v>
      </c>
      <c r="F46" s="50">
        <v>0</v>
      </c>
      <c r="G46" s="51"/>
      <c r="H46" s="55"/>
    </row>
    <row r="47" spans="1:8" ht="21">
      <c r="A47" s="282" t="s">
        <v>10</v>
      </c>
      <c r="B47" s="283"/>
      <c r="C47" s="283"/>
      <c r="D47" s="284"/>
      <c r="E47" s="41" t="s">
        <v>165</v>
      </c>
      <c r="F47" s="50">
        <v>0</v>
      </c>
      <c r="G47" s="51"/>
      <c r="H47" s="55"/>
    </row>
    <row r="48" spans="1:8" ht="21">
      <c r="A48" s="282" t="s">
        <v>11</v>
      </c>
      <c r="B48" s="283"/>
      <c r="C48" s="283"/>
      <c r="D48" s="284"/>
      <c r="E48" s="4">
        <v>110300</v>
      </c>
      <c r="F48" s="50">
        <v>0</v>
      </c>
      <c r="G48" s="51"/>
      <c r="H48" s="55"/>
    </row>
    <row r="49" spans="1:8" ht="21">
      <c r="A49" s="282" t="s">
        <v>18</v>
      </c>
      <c r="B49" s="283"/>
      <c r="C49" s="283"/>
      <c r="D49" s="284"/>
      <c r="E49" s="4">
        <v>510000</v>
      </c>
      <c r="F49" s="50">
        <v>389052</v>
      </c>
      <c r="G49" s="51"/>
      <c r="H49" s="55"/>
    </row>
    <row r="50" spans="1:8" ht="21">
      <c r="A50" s="282" t="s">
        <v>215</v>
      </c>
      <c r="B50" s="283"/>
      <c r="C50" s="283"/>
      <c r="D50" s="284"/>
      <c r="E50" s="4">
        <v>521000</v>
      </c>
      <c r="F50" s="57">
        <v>1672610</v>
      </c>
      <c r="G50" s="51"/>
      <c r="H50" s="55"/>
    </row>
    <row r="51" spans="1:8" ht="21">
      <c r="A51" s="282" t="s">
        <v>216</v>
      </c>
      <c r="B51" s="283"/>
      <c r="C51" s="283"/>
      <c r="D51" s="284"/>
      <c r="E51" s="4">
        <v>522000</v>
      </c>
      <c r="F51" s="57">
        <v>2558923</v>
      </c>
      <c r="G51" s="51"/>
      <c r="H51" s="55"/>
    </row>
    <row r="52" spans="1:8" ht="21">
      <c r="A52" s="282" t="s">
        <v>12</v>
      </c>
      <c r="B52" s="283"/>
      <c r="C52" s="283"/>
      <c r="D52" s="284"/>
      <c r="E52" s="4">
        <v>531000</v>
      </c>
      <c r="F52" s="57">
        <v>713608</v>
      </c>
      <c r="G52" s="51"/>
      <c r="H52" s="55"/>
    </row>
    <row r="53" spans="1:8" ht="21">
      <c r="A53" s="282" t="s">
        <v>13</v>
      </c>
      <c r="B53" s="283"/>
      <c r="C53" s="283"/>
      <c r="D53" s="284"/>
      <c r="E53" s="4">
        <v>532000</v>
      </c>
      <c r="F53" s="57">
        <v>1411217.5</v>
      </c>
      <c r="G53" s="51"/>
      <c r="H53" s="55"/>
    </row>
    <row r="54" spans="1:8" ht="21">
      <c r="A54" s="282" t="s">
        <v>14</v>
      </c>
      <c r="B54" s="283"/>
      <c r="C54" s="283"/>
      <c r="D54" s="284"/>
      <c r="E54" s="4">
        <v>533000</v>
      </c>
      <c r="F54" s="57">
        <v>760712.21</v>
      </c>
      <c r="G54" s="51"/>
      <c r="H54" s="55"/>
    </row>
    <row r="55" spans="1:8" ht="21">
      <c r="A55" s="282" t="s">
        <v>15</v>
      </c>
      <c r="B55" s="283"/>
      <c r="C55" s="283"/>
      <c r="D55" s="284"/>
      <c r="E55" s="4">
        <v>534000</v>
      </c>
      <c r="F55" s="57">
        <v>100976.52</v>
      </c>
      <c r="G55" s="51"/>
      <c r="H55" s="55"/>
    </row>
    <row r="56" spans="1:8" ht="21">
      <c r="A56" s="282" t="s">
        <v>16</v>
      </c>
      <c r="B56" s="283"/>
      <c r="C56" s="283"/>
      <c r="D56" s="284"/>
      <c r="E56" s="4">
        <v>541000</v>
      </c>
      <c r="F56" s="50">
        <v>200108.2</v>
      </c>
      <c r="G56" s="51"/>
      <c r="H56" s="55"/>
    </row>
    <row r="57" spans="1:8" ht="21">
      <c r="A57" s="282" t="s">
        <v>17</v>
      </c>
      <c r="B57" s="283"/>
      <c r="C57" s="283"/>
      <c r="D57" s="284"/>
      <c r="E57" s="4">
        <v>542000</v>
      </c>
      <c r="F57" s="50">
        <v>838730</v>
      </c>
      <c r="G57" s="51"/>
      <c r="H57" s="55"/>
    </row>
    <row r="58" spans="1:8" ht="21">
      <c r="A58" s="282" t="s">
        <v>19</v>
      </c>
      <c r="B58" s="283"/>
      <c r="C58" s="283"/>
      <c r="D58" s="284"/>
      <c r="E58" s="4">
        <v>560000</v>
      </c>
      <c r="F58" s="50">
        <v>565700</v>
      </c>
      <c r="G58" s="51"/>
      <c r="H58" s="55"/>
    </row>
    <row r="59" spans="1:8" ht="21">
      <c r="A59" s="282" t="s">
        <v>151</v>
      </c>
      <c r="B59" s="283"/>
      <c r="C59" s="283"/>
      <c r="D59" s="284"/>
      <c r="E59" s="4">
        <v>550000</v>
      </c>
      <c r="F59" s="50">
        <v>0</v>
      </c>
      <c r="G59" s="51"/>
      <c r="H59" s="55"/>
    </row>
    <row r="60" spans="1:8" ht="21">
      <c r="A60" s="282" t="s">
        <v>20</v>
      </c>
      <c r="B60" s="283"/>
      <c r="C60" s="283"/>
      <c r="D60" s="284"/>
      <c r="E60" s="4">
        <v>400000</v>
      </c>
      <c r="F60" s="57"/>
      <c r="G60" s="51">
        <v>4944898.04</v>
      </c>
      <c r="H60" s="55">
        <v>13905737.69</v>
      </c>
    </row>
    <row r="61" spans="1:8" ht="21">
      <c r="A61" s="282" t="s">
        <v>21</v>
      </c>
      <c r="B61" s="283"/>
      <c r="C61" s="283"/>
      <c r="D61" s="284"/>
      <c r="E61" s="4">
        <v>230000</v>
      </c>
      <c r="F61" s="57"/>
      <c r="G61" s="51"/>
      <c r="H61" s="55">
        <f>SUM(รายละเอียดประกอบงบ!D49)</f>
        <v>441612.51</v>
      </c>
    </row>
    <row r="62" spans="1:8" ht="21">
      <c r="A62" s="282" t="s">
        <v>264</v>
      </c>
      <c r="B62" s="283"/>
      <c r="C62" s="283"/>
      <c r="D62" s="284"/>
      <c r="E62" s="4">
        <v>441000</v>
      </c>
      <c r="F62" s="57">
        <v>2895170</v>
      </c>
      <c r="G62" s="51"/>
      <c r="H62" s="61">
        <v>0</v>
      </c>
    </row>
    <row r="63" spans="1:8" ht="21">
      <c r="A63" s="282" t="s">
        <v>22</v>
      </c>
      <c r="B63" s="283"/>
      <c r="C63" s="283"/>
      <c r="D63" s="284"/>
      <c r="E63" s="4">
        <v>210402</v>
      </c>
      <c r="F63" s="57">
        <v>0</v>
      </c>
      <c r="G63" s="51"/>
      <c r="H63" s="61">
        <v>4936.75</v>
      </c>
    </row>
    <row r="64" spans="1:8" ht="21">
      <c r="A64" s="282" t="s">
        <v>344</v>
      </c>
      <c r="B64" s="283"/>
      <c r="C64" s="283"/>
      <c r="D64" s="284"/>
      <c r="E64" s="4">
        <v>210500</v>
      </c>
      <c r="F64" s="57">
        <v>0</v>
      </c>
      <c r="G64" s="51"/>
      <c r="H64" s="61">
        <v>433297</v>
      </c>
    </row>
    <row r="65" spans="1:8" ht="21">
      <c r="A65" s="282" t="s">
        <v>24</v>
      </c>
      <c r="B65" s="283"/>
      <c r="C65" s="283"/>
      <c r="D65" s="284"/>
      <c r="E65" s="4">
        <v>300000</v>
      </c>
      <c r="F65" s="57"/>
      <c r="G65" s="51"/>
      <c r="H65" s="55">
        <v>2078426.68</v>
      </c>
    </row>
    <row r="66" spans="1:8" ht="21">
      <c r="A66" s="282" t="s">
        <v>25</v>
      </c>
      <c r="B66" s="283"/>
      <c r="C66" s="283"/>
      <c r="D66" s="284"/>
      <c r="E66" s="4">
        <v>320000</v>
      </c>
      <c r="F66" s="57"/>
      <c r="G66" s="51"/>
      <c r="H66" s="55">
        <v>5943201.97</v>
      </c>
    </row>
    <row r="67" spans="6:8" ht="21.75" thickBot="1">
      <c r="F67" s="58">
        <f>SUM(F41:F66)</f>
        <v>22807212.6</v>
      </c>
      <c r="G67" s="59"/>
      <c r="H67" s="60">
        <f>SUM(H60:H66)</f>
        <v>22807212.599999998</v>
      </c>
    </row>
    <row r="68" spans="1:8" ht="21.75" thickTop="1">
      <c r="A68" s="5"/>
      <c r="B68" s="5"/>
      <c r="C68" s="5"/>
      <c r="D68" s="5"/>
      <c r="E68" s="5"/>
      <c r="F68" s="5"/>
      <c r="G68" s="5"/>
      <c r="H68" s="5"/>
    </row>
    <row r="69" spans="1:8" ht="21">
      <c r="A69" s="5"/>
      <c r="B69" s="5"/>
      <c r="C69" s="5"/>
      <c r="D69" s="5"/>
      <c r="E69" s="5"/>
      <c r="F69" s="5"/>
      <c r="G69" s="5"/>
      <c r="H69" s="5"/>
    </row>
    <row r="70" spans="1:8" ht="21">
      <c r="A70" s="5"/>
      <c r="B70" s="5"/>
      <c r="C70" s="5"/>
      <c r="D70" s="5"/>
      <c r="E70" s="5"/>
      <c r="F70" s="5"/>
      <c r="G70" s="5"/>
      <c r="H70" s="5"/>
    </row>
    <row r="71" spans="1:8" ht="21">
      <c r="A71" s="1"/>
      <c r="B71" s="1"/>
      <c r="C71" s="1"/>
      <c r="D71" s="1"/>
      <c r="E71" s="1" t="s">
        <v>0</v>
      </c>
      <c r="F71" s="1"/>
      <c r="G71" s="1"/>
      <c r="H71" s="1"/>
    </row>
    <row r="72" spans="1:8" ht="21">
      <c r="A72" s="7"/>
      <c r="B72" s="7"/>
      <c r="C72" s="7"/>
      <c r="D72" s="7"/>
      <c r="E72" s="7" t="s">
        <v>1</v>
      </c>
      <c r="F72" s="7"/>
      <c r="G72" s="7"/>
      <c r="H72" s="7"/>
    </row>
    <row r="73" spans="1:8" ht="21">
      <c r="A73" s="289" t="s">
        <v>336</v>
      </c>
      <c r="B73" s="290"/>
      <c r="C73" s="290"/>
      <c r="D73" s="290"/>
      <c r="E73" s="290"/>
      <c r="F73" s="290"/>
      <c r="G73" s="290"/>
      <c r="H73" s="290"/>
    </row>
    <row r="74" spans="1:8" ht="21">
      <c r="A74" s="285" t="s">
        <v>2</v>
      </c>
      <c r="B74" s="286"/>
      <c r="C74" s="286"/>
      <c r="D74" s="287"/>
      <c r="E74" s="4" t="s">
        <v>3</v>
      </c>
      <c r="F74" s="285" t="s">
        <v>136</v>
      </c>
      <c r="G74" s="287"/>
      <c r="H74" s="49" t="s">
        <v>137</v>
      </c>
    </row>
    <row r="75" spans="1:8" ht="21">
      <c r="A75" s="282" t="s">
        <v>4</v>
      </c>
      <c r="B75" s="283"/>
      <c r="C75" s="283"/>
      <c r="D75" s="284"/>
      <c r="E75" s="41" t="s">
        <v>211</v>
      </c>
      <c r="F75" s="50">
        <v>0</v>
      </c>
      <c r="G75" s="51"/>
      <c r="H75" s="52"/>
    </row>
    <row r="76" spans="1:8" ht="21">
      <c r="A76" s="282" t="s">
        <v>5</v>
      </c>
      <c r="B76" s="283"/>
      <c r="C76" s="283"/>
      <c r="D76" s="284"/>
      <c r="E76" s="41" t="s">
        <v>212</v>
      </c>
      <c r="F76" s="53">
        <v>4139744.42</v>
      </c>
      <c r="G76" s="54"/>
      <c r="H76" s="55"/>
    </row>
    <row r="77" spans="1:8" ht="21">
      <c r="A77" s="282" t="s">
        <v>6</v>
      </c>
      <c r="B77" s="283"/>
      <c r="C77" s="283"/>
      <c r="D77" s="284"/>
      <c r="E77" s="41" t="s">
        <v>212</v>
      </c>
      <c r="F77" s="50">
        <v>640609.43</v>
      </c>
      <c r="G77" s="56"/>
      <c r="H77" s="55"/>
    </row>
    <row r="78" spans="1:8" ht="21">
      <c r="A78" s="282" t="s">
        <v>7</v>
      </c>
      <c r="B78" s="283"/>
      <c r="C78" s="283"/>
      <c r="D78" s="284"/>
      <c r="E78" s="41" t="s">
        <v>213</v>
      </c>
      <c r="F78" s="50">
        <v>264150.67</v>
      </c>
      <c r="G78" s="51"/>
      <c r="H78" s="55"/>
    </row>
    <row r="79" spans="1:8" ht="21">
      <c r="A79" s="282" t="s">
        <v>166</v>
      </c>
      <c r="B79" s="283"/>
      <c r="C79" s="283"/>
      <c r="D79" s="284"/>
      <c r="E79" s="41" t="s">
        <v>212</v>
      </c>
      <c r="F79" s="50">
        <v>5957783.03</v>
      </c>
      <c r="G79" s="51"/>
      <c r="H79" s="55"/>
    </row>
    <row r="80" spans="1:8" ht="21">
      <c r="A80" s="282" t="s">
        <v>8</v>
      </c>
      <c r="B80" s="283"/>
      <c r="C80" s="283"/>
      <c r="D80" s="284"/>
      <c r="E80" s="41" t="s">
        <v>214</v>
      </c>
      <c r="F80" s="50">
        <v>0</v>
      </c>
      <c r="G80" s="51"/>
      <c r="H80" s="55"/>
    </row>
    <row r="81" spans="1:8" ht="21">
      <c r="A81" s="282" t="s">
        <v>9</v>
      </c>
      <c r="B81" s="283"/>
      <c r="C81" s="283"/>
      <c r="D81" s="284"/>
      <c r="E81" s="42">
        <v>110605</v>
      </c>
      <c r="F81" s="50">
        <v>20000</v>
      </c>
      <c r="G81" s="51"/>
      <c r="H81" s="55"/>
    </row>
    <row r="82" spans="1:8" ht="21">
      <c r="A82" s="282" t="s">
        <v>10</v>
      </c>
      <c r="B82" s="283"/>
      <c r="C82" s="283"/>
      <c r="D82" s="284"/>
      <c r="E82" s="41" t="s">
        <v>165</v>
      </c>
      <c r="F82" s="50">
        <v>6000</v>
      </c>
      <c r="G82" s="51"/>
      <c r="H82" s="55"/>
    </row>
    <row r="83" spans="1:8" ht="21">
      <c r="A83" s="282" t="s">
        <v>11</v>
      </c>
      <c r="B83" s="283"/>
      <c r="C83" s="283"/>
      <c r="D83" s="284"/>
      <c r="E83" s="4">
        <v>110300</v>
      </c>
      <c r="F83" s="50">
        <v>0</v>
      </c>
      <c r="G83" s="51"/>
      <c r="H83" s="55"/>
    </row>
    <row r="84" spans="1:8" ht="21">
      <c r="A84" s="282" t="s">
        <v>18</v>
      </c>
      <c r="B84" s="283"/>
      <c r="C84" s="283"/>
      <c r="D84" s="284"/>
      <c r="E84" s="4">
        <v>510000</v>
      </c>
      <c r="F84" s="50">
        <v>375980</v>
      </c>
      <c r="G84" s="51"/>
      <c r="H84" s="55"/>
    </row>
    <row r="85" spans="1:8" ht="21">
      <c r="A85" s="282" t="s">
        <v>215</v>
      </c>
      <c r="B85" s="283"/>
      <c r="C85" s="283"/>
      <c r="D85" s="284"/>
      <c r="E85" s="4">
        <v>521000</v>
      </c>
      <c r="F85" s="57">
        <v>1242590</v>
      </c>
      <c r="G85" s="51"/>
      <c r="H85" s="55"/>
    </row>
    <row r="86" spans="1:8" ht="21">
      <c r="A86" s="282" t="s">
        <v>216</v>
      </c>
      <c r="B86" s="283"/>
      <c r="C86" s="283"/>
      <c r="D86" s="284"/>
      <c r="E86" s="4">
        <v>522000</v>
      </c>
      <c r="F86" s="57">
        <v>1888153</v>
      </c>
      <c r="G86" s="51"/>
      <c r="H86" s="55"/>
    </row>
    <row r="87" spans="1:8" ht="21">
      <c r="A87" s="282" t="s">
        <v>12</v>
      </c>
      <c r="B87" s="283"/>
      <c r="C87" s="283"/>
      <c r="D87" s="284"/>
      <c r="E87" s="4">
        <v>531000</v>
      </c>
      <c r="F87" s="57">
        <v>220635</v>
      </c>
      <c r="G87" s="51"/>
      <c r="H87" s="55"/>
    </row>
    <row r="88" spans="1:8" ht="21">
      <c r="A88" s="282" t="s">
        <v>13</v>
      </c>
      <c r="B88" s="283"/>
      <c r="C88" s="283"/>
      <c r="D88" s="284"/>
      <c r="E88" s="4">
        <v>532000</v>
      </c>
      <c r="F88" s="57">
        <v>1020581.71</v>
      </c>
      <c r="G88" s="51"/>
      <c r="H88" s="55"/>
    </row>
    <row r="89" spans="1:8" ht="21">
      <c r="A89" s="282" t="s">
        <v>14</v>
      </c>
      <c r="B89" s="283"/>
      <c r="C89" s="283"/>
      <c r="D89" s="284"/>
      <c r="E89" s="4">
        <v>533000</v>
      </c>
      <c r="F89" s="57">
        <v>377424.02</v>
      </c>
      <c r="G89" s="51"/>
      <c r="H89" s="55"/>
    </row>
    <row r="90" spans="1:8" ht="21">
      <c r="A90" s="282" t="s">
        <v>15</v>
      </c>
      <c r="B90" s="283"/>
      <c r="C90" s="283"/>
      <c r="D90" s="284"/>
      <c r="E90" s="4">
        <v>534000</v>
      </c>
      <c r="F90" s="57">
        <v>71521.47</v>
      </c>
      <c r="G90" s="51"/>
      <c r="H90" s="55"/>
    </row>
    <row r="91" spans="1:8" ht="21">
      <c r="A91" s="282" t="s">
        <v>16</v>
      </c>
      <c r="B91" s="283"/>
      <c r="C91" s="283"/>
      <c r="D91" s="284"/>
      <c r="E91" s="4">
        <v>541000</v>
      </c>
      <c r="F91" s="50">
        <v>66900</v>
      </c>
      <c r="G91" s="51"/>
      <c r="H91" s="55"/>
    </row>
    <row r="92" spans="1:8" ht="21">
      <c r="A92" s="282" t="s">
        <v>17</v>
      </c>
      <c r="B92" s="283"/>
      <c r="C92" s="283"/>
      <c r="D92" s="284"/>
      <c r="E92" s="4">
        <v>542000</v>
      </c>
      <c r="F92" s="50">
        <v>749000</v>
      </c>
      <c r="G92" s="51"/>
      <c r="H92" s="55"/>
    </row>
    <row r="93" spans="1:8" ht="21">
      <c r="A93" s="282" t="s">
        <v>19</v>
      </c>
      <c r="B93" s="283"/>
      <c r="C93" s="283"/>
      <c r="D93" s="284"/>
      <c r="E93" s="4">
        <v>560000</v>
      </c>
      <c r="F93" s="50">
        <v>455700</v>
      </c>
      <c r="G93" s="51"/>
      <c r="H93" s="55"/>
    </row>
    <row r="94" spans="1:8" ht="21">
      <c r="A94" s="282" t="s">
        <v>151</v>
      </c>
      <c r="B94" s="283"/>
      <c r="C94" s="283"/>
      <c r="D94" s="284"/>
      <c r="E94" s="4">
        <v>550000</v>
      </c>
      <c r="F94" s="50">
        <v>0</v>
      </c>
      <c r="G94" s="51"/>
      <c r="H94" s="55"/>
    </row>
    <row r="95" spans="1:8" ht="21">
      <c r="A95" s="282" t="s">
        <v>20</v>
      </c>
      <c r="B95" s="283"/>
      <c r="C95" s="283"/>
      <c r="D95" s="284"/>
      <c r="E95" s="4">
        <v>400000</v>
      </c>
      <c r="F95" s="57"/>
      <c r="G95" s="51">
        <v>4944898.04</v>
      </c>
      <c r="H95" s="55">
        <v>11017035.6</v>
      </c>
    </row>
    <row r="96" spans="1:8" ht="21">
      <c r="A96" s="282" t="s">
        <v>21</v>
      </c>
      <c r="B96" s="283"/>
      <c r="C96" s="283"/>
      <c r="D96" s="284"/>
      <c r="E96" s="4">
        <v>230000</v>
      </c>
      <c r="F96" s="57"/>
      <c r="G96" s="51"/>
      <c r="H96" s="55">
        <v>884098.5</v>
      </c>
    </row>
    <row r="97" spans="1:8" ht="21">
      <c r="A97" s="282" t="s">
        <v>264</v>
      </c>
      <c r="B97" s="283"/>
      <c r="C97" s="283"/>
      <c r="D97" s="284"/>
      <c r="E97" s="4">
        <v>441000</v>
      </c>
      <c r="F97" s="57">
        <v>2364490</v>
      </c>
      <c r="G97" s="51"/>
      <c r="H97" s="61">
        <v>0</v>
      </c>
    </row>
    <row r="98" spans="1:8" ht="21">
      <c r="A98" s="282" t="s">
        <v>22</v>
      </c>
      <c r="B98" s="283"/>
      <c r="C98" s="283"/>
      <c r="D98" s="284"/>
      <c r="E98" s="4">
        <v>210402</v>
      </c>
      <c r="F98" s="57"/>
      <c r="G98" s="51"/>
      <c r="H98" s="61">
        <v>0</v>
      </c>
    </row>
    <row r="99" spans="1:8" ht="21">
      <c r="A99" s="282" t="s">
        <v>23</v>
      </c>
      <c r="B99" s="283"/>
      <c r="C99" s="283"/>
      <c r="D99" s="284"/>
      <c r="E99" s="4">
        <v>210200</v>
      </c>
      <c r="F99" s="57"/>
      <c r="G99" s="51"/>
      <c r="H99" s="61" t="s">
        <v>146</v>
      </c>
    </row>
    <row r="100" spans="1:8" ht="21">
      <c r="A100" s="282" t="s">
        <v>24</v>
      </c>
      <c r="B100" s="283"/>
      <c r="C100" s="283"/>
      <c r="D100" s="284"/>
      <c r="E100" s="4">
        <v>300000</v>
      </c>
      <c r="F100" s="57"/>
      <c r="G100" s="51"/>
      <c r="H100" s="55">
        <v>2016926.68</v>
      </c>
    </row>
    <row r="101" spans="1:8" ht="21">
      <c r="A101" s="282" t="s">
        <v>25</v>
      </c>
      <c r="B101" s="283"/>
      <c r="C101" s="283"/>
      <c r="D101" s="284"/>
      <c r="E101" s="4">
        <v>320000</v>
      </c>
      <c r="F101" s="57"/>
      <c r="G101" s="51"/>
      <c r="H101" s="55">
        <v>5943201.97</v>
      </c>
    </row>
    <row r="102" spans="6:8" ht="21.75" thickBot="1">
      <c r="F102" s="58">
        <f>SUM(F75:F101)</f>
        <v>19861262.75</v>
      </c>
      <c r="G102" s="59"/>
      <c r="H102" s="60">
        <f>SUM(H95:H101)</f>
        <v>19861262.75</v>
      </c>
    </row>
    <row r="103" ht="21.75" thickTop="1"/>
  </sheetData>
  <sheetProtection/>
  <mergeCells count="90">
    <mergeCell ref="A96:D96"/>
    <mergeCell ref="A97:D97"/>
    <mergeCell ref="A98:D98"/>
    <mergeCell ref="A99:D99"/>
    <mergeCell ref="A100:D100"/>
    <mergeCell ref="A101:D101"/>
    <mergeCell ref="A90:D90"/>
    <mergeCell ref="A91:D91"/>
    <mergeCell ref="A92:D92"/>
    <mergeCell ref="A93:D93"/>
    <mergeCell ref="A94:D94"/>
    <mergeCell ref="A95:D95"/>
    <mergeCell ref="A84:D84"/>
    <mergeCell ref="A85:D85"/>
    <mergeCell ref="A86:D86"/>
    <mergeCell ref="A87:D87"/>
    <mergeCell ref="A88:D88"/>
    <mergeCell ref="A89:D89"/>
    <mergeCell ref="A78:D78"/>
    <mergeCell ref="A79:D79"/>
    <mergeCell ref="A80:D80"/>
    <mergeCell ref="A81:D81"/>
    <mergeCell ref="A82:D82"/>
    <mergeCell ref="A83:D83"/>
    <mergeCell ref="A73:H73"/>
    <mergeCell ref="A74:D74"/>
    <mergeCell ref="F74:G74"/>
    <mergeCell ref="A75:D75"/>
    <mergeCell ref="A76:D76"/>
    <mergeCell ref="A77:D77"/>
    <mergeCell ref="A3:H3"/>
    <mergeCell ref="F4:G4"/>
    <mergeCell ref="A4:D4"/>
    <mergeCell ref="A5:D5"/>
    <mergeCell ref="A10:D10"/>
    <mergeCell ref="A11:D11"/>
    <mergeCell ref="A15:D15"/>
    <mergeCell ref="A16:D16"/>
    <mergeCell ref="A17:D17"/>
    <mergeCell ref="A12:D12"/>
    <mergeCell ref="A13:D13"/>
    <mergeCell ref="A6:D6"/>
    <mergeCell ref="A7:D7"/>
    <mergeCell ref="A8:D8"/>
    <mergeCell ref="A9:D9"/>
    <mergeCell ref="A14:D14"/>
    <mergeCell ref="A22:D22"/>
    <mergeCell ref="A23:D23"/>
    <mergeCell ref="A18:D18"/>
    <mergeCell ref="A19:D19"/>
    <mergeCell ref="A20:D20"/>
    <mergeCell ref="A21:D21"/>
    <mergeCell ref="A28:D28"/>
    <mergeCell ref="A29:D29"/>
    <mergeCell ref="A30:D30"/>
    <mergeCell ref="A31:D31"/>
    <mergeCell ref="A41:D41"/>
    <mergeCell ref="A24:D24"/>
    <mergeCell ref="A25:D25"/>
    <mergeCell ref="A26:D26"/>
    <mergeCell ref="A27:D27"/>
    <mergeCell ref="A38:H38"/>
    <mergeCell ref="A39:D39"/>
    <mergeCell ref="F39:G39"/>
    <mergeCell ref="A40:D40"/>
    <mergeCell ref="A42:D42"/>
    <mergeCell ref="A43:D43"/>
    <mergeCell ref="A44:D44"/>
    <mergeCell ref="A45:D45"/>
    <mergeCell ref="A46:D46"/>
    <mergeCell ref="A47:D47"/>
    <mergeCell ref="A48:D48"/>
    <mergeCell ref="A49:D49"/>
    <mergeCell ref="A61:D61"/>
    <mergeCell ref="A50:D50"/>
    <mergeCell ref="A51:D51"/>
    <mergeCell ref="A52:D52"/>
    <mergeCell ref="A53:D53"/>
    <mergeCell ref="A54:D54"/>
    <mergeCell ref="A55:D55"/>
    <mergeCell ref="A62:D62"/>
    <mergeCell ref="A63:D63"/>
    <mergeCell ref="A64:D64"/>
    <mergeCell ref="A65:D65"/>
    <mergeCell ref="A66:D66"/>
    <mergeCell ref="A56:D56"/>
    <mergeCell ref="A57:D57"/>
    <mergeCell ref="A58:D58"/>
    <mergeCell ref="A59:D59"/>
    <mergeCell ref="A60:D60"/>
  </mergeCells>
  <printOptions/>
  <pageMargins left="0.866141732283464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21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35">
      <selection activeCell="G47" sqref="G47"/>
    </sheetView>
  </sheetViews>
  <sheetFormatPr defaultColWidth="9.33203125" defaultRowHeight="21"/>
  <cols>
    <col min="1" max="1" width="19.66015625" style="11" customWidth="1"/>
    <col min="2" max="2" width="0.328125" style="11" customWidth="1"/>
    <col min="3" max="3" width="20" style="11" customWidth="1"/>
    <col min="4" max="4" width="0.1640625" style="11" customWidth="1"/>
    <col min="5" max="5" width="41.33203125" style="11" customWidth="1"/>
    <col min="6" max="6" width="9.16015625" style="15" customWidth="1"/>
    <col min="7" max="7" width="18.5" style="11" customWidth="1"/>
    <col min="8" max="8" width="0.1640625" style="11" customWidth="1"/>
    <col min="9" max="9" width="6.83203125" style="11" customWidth="1"/>
    <col min="10" max="10" width="23.83203125" style="11" customWidth="1"/>
    <col min="11" max="12" width="16.16015625" style="11" bestFit="1" customWidth="1"/>
    <col min="13" max="13" width="9.83203125" style="11" bestFit="1" customWidth="1"/>
    <col min="14" max="15" width="9.33203125" style="11" customWidth="1"/>
    <col min="16" max="16" width="12.16015625" style="11" bestFit="1" customWidth="1"/>
    <col min="17" max="17" width="9.33203125" style="11" customWidth="1"/>
    <col min="18" max="18" width="11" style="11" bestFit="1" customWidth="1"/>
    <col min="19" max="16384" width="9.33203125" style="11" customWidth="1"/>
  </cols>
  <sheetData>
    <row r="1" spans="1:7" ht="23.25">
      <c r="A1" s="10" t="s">
        <v>0</v>
      </c>
      <c r="B1" s="10"/>
      <c r="C1" s="10"/>
      <c r="D1" s="10"/>
      <c r="G1" s="12" t="s">
        <v>596</v>
      </c>
    </row>
    <row r="2" spans="1:4" ht="23.25">
      <c r="A2" s="10" t="s">
        <v>26</v>
      </c>
      <c r="B2" s="10"/>
      <c r="C2" s="10"/>
      <c r="D2" s="10"/>
    </row>
    <row r="3" spans="1:8" ht="23.25">
      <c r="A3" s="307" t="s">
        <v>27</v>
      </c>
      <c r="B3" s="307"/>
      <c r="C3" s="307"/>
      <c r="D3" s="307"/>
      <c r="E3" s="307"/>
      <c r="F3" s="307"/>
      <c r="G3" s="307"/>
      <c r="H3" s="307"/>
    </row>
    <row r="4" ht="23.25">
      <c r="F4" s="13" t="s">
        <v>637</v>
      </c>
    </row>
    <row r="5" spans="1:8" ht="23.25">
      <c r="A5" s="308" t="s">
        <v>28</v>
      </c>
      <c r="B5" s="308"/>
      <c r="C5" s="308"/>
      <c r="D5" s="308"/>
      <c r="E5" s="8" t="s">
        <v>2</v>
      </c>
      <c r="F5" s="8" t="s">
        <v>32</v>
      </c>
      <c r="G5" s="301" t="s">
        <v>34</v>
      </c>
      <c r="H5" s="302"/>
    </row>
    <row r="6" spans="1:8" ht="23.25">
      <c r="A6" s="309" t="s">
        <v>29</v>
      </c>
      <c r="B6" s="309"/>
      <c r="C6" s="309" t="s">
        <v>31</v>
      </c>
      <c r="D6" s="309"/>
      <c r="E6" s="19"/>
      <c r="F6" s="20" t="s">
        <v>33</v>
      </c>
      <c r="G6" s="303" t="s">
        <v>31</v>
      </c>
      <c r="H6" s="304"/>
    </row>
    <row r="7" spans="1:8" ht="23.25">
      <c r="A7" s="310" t="s">
        <v>30</v>
      </c>
      <c r="B7" s="310"/>
      <c r="C7" s="310" t="s">
        <v>30</v>
      </c>
      <c r="D7" s="310"/>
      <c r="E7" s="21"/>
      <c r="F7" s="9"/>
      <c r="G7" s="305" t="s">
        <v>30</v>
      </c>
      <c r="H7" s="306"/>
    </row>
    <row r="8" spans="1:10" ht="24" thickBot="1">
      <c r="A8" s="62"/>
      <c r="B8" s="66"/>
      <c r="C8" s="67">
        <v>15247482.47</v>
      </c>
      <c r="D8" s="68"/>
      <c r="E8" s="22" t="s">
        <v>35</v>
      </c>
      <c r="F8" s="33"/>
      <c r="G8" s="58">
        <v>20499656.9</v>
      </c>
      <c r="H8" s="87"/>
      <c r="J8" s="79"/>
    </row>
    <row r="9" spans="1:10" ht="24" thickTop="1">
      <c r="A9" s="63"/>
      <c r="B9" s="69"/>
      <c r="C9" s="64"/>
      <c r="D9" s="70"/>
      <c r="E9" s="86" t="s">
        <v>138</v>
      </c>
      <c r="F9" s="24"/>
      <c r="G9" s="64"/>
      <c r="H9" s="71"/>
      <c r="J9" s="79"/>
    </row>
    <row r="10" spans="1:11" ht="23.25">
      <c r="A10" s="63">
        <v>72000</v>
      </c>
      <c r="B10" s="71"/>
      <c r="C10" s="64">
        <f>84278+G10</f>
        <v>85744</v>
      </c>
      <c r="D10" s="70"/>
      <c r="E10" s="19" t="s">
        <v>44</v>
      </c>
      <c r="F10" s="24">
        <v>411000</v>
      </c>
      <c r="G10" s="64">
        <f>1226+240</f>
        <v>1466</v>
      </c>
      <c r="H10" s="71"/>
      <c r="J10" s="79"/>
      <c r="K10" s="11">
        <v>509341.63</v>
      </c>
    </row>
    <row r="11" spans="1:11" ht="23.25">
      <c r="A11" s="63">
        <v>10700</v>
      </c>
      <c r="B11" s="71"/>
      <c r="C11" s="64">
        <f>420+G11</f>
        <v>470</v>
      </c>
      <c r="D11" s="70"/>
      <c r="E11" s="19" t="s">
        <v>143</v>
      </c>
      <c r="F11" s="24">
        <v>412000</v>
      </c>
      <c r="G11" s="64">
        <f>50</f>
        <v>50</v>
      </c>
      <c r="H11" s="71"/>
      <c r="K11" s="11">
        <v>16970.33</v>
      </c>
    </row>
    <row r="12" spans="1:11" ht="23.25">
      <c r="A12" s="63">
        <v>66000</v>
      </c>
      <c r="B12" s="71"/>
      <c r="C12" s="64">
        <f>79090.5+G12</f>
        <v>129558.85</v>
      </c>
      <c r="D12" s="70"/>
      <c r="E12" s="19" t="s">
        <v>36</v>
      </c>
      <c r="F12" s="24">
        <v>413000</v>
      </c>
      <c r="G12" s="64">
        <f>1000+49468.35</f>
        <v>50468.35</v>
      </c>
      <c r="H12" s="71"/>
      <c r="J12" s="79"/>
      <c r="K12" s="11">
        <v>11380.82</v>
      </c>
    </row>
    <row r="13" spans="1:11" ht="23.25">
      <c r="A13" s="64"/>
      <c r="B13" s="71"/>
      <c r="C13" s="64">
        <f>SUM(0+G13)</f>
        <v>0</v>
      </c>
      <c r="D13" s="70"/>
      <c r="E13" s="19" t="s">
        <v>37</v>
      </c>
      <c r="F13" s="24">
        <v>414000</v>
      </c>
      <c r="G13" s="64">
        <v>0</v>
      </c>
      <c r="H13" s="71"/>
      <c r="J13" s="79"/>
      <c r="K13" s="11">
        <v>15703</v>
      </c>
    </row>
    <row r="14" spans="1:11" ht="23.25">
      <c r="A14" s="64">
        <v>52000</v>
      </c>
      <c r="B14" s="71"/>
      <c r="C14" s="64">
        <f>40540+G14</f>
        <v>57540</v>
      </c>
      <c r="D14" s="70"/>
      <c r="E14" s="19" t="s">
        <v>139</v>
      </c>
      <c r="F14" s="24">
        <v>415000</v>
      </c>
      <c r="G14" s="64">
        <v>17000</v>
      </c>
      <c r="H14" s="71"/>
      <c r="J14" s="79"/>
      <c r="K14" s="11">
        <v>0</v>
      </c>
    </row>
    <row r="15" spans="1:11" ht="23.25">
      <c r="A15" s="64"/>
      <c r="B15" s="71"/>
      <c r="C15" s="64">
        <f>270+G15</f>
        <v>270</v>
      </c>
      <c r="D15" s="70"/>
      <c r="E15" s="19" t="s">
        <v>38</v>
      </c>
      <c r="F15" s="24">
        <v>416000</v>
      </c>
      <c r="G15" s="64">
        <v>0</v>
      </c>
      <c r="H15" s="71"/>
      <c r="K15" s="11">
        <f>SUM(K10:K14)</f>
        <v>553395.7799999999</v>
      </c>
    </row>
    <row r="16" spans="1:8" ht="23.25">
      <c r="A16" s="63">
        <v>11078000</v>
      </c>
      <c r="B16" s="71"/>
      <c r="C16" s="64">
        <f>8816116.71+G16</f>
        <v>10032594.600000001</v>
      </c>
      <c r="D16" s="72"/>
      <c r="E16" s="19" t="s">
        <v>39</v>
      </c>
      <c r="F16" s="24">
        <v>420000</v>
      </c>
      <c r="G16" s="64">
        <f>169840.35+235178.83+13931+18806.56+769126.43+9594.72</f>
        <v>1216477.89</v>
      </c>
      <c r="H16" s="71"/>
    </row>
    <row r="17" spans="1:18" ht="23.25">
      <c r="A17" s="63">
        <v>4232230</v>
      </c>
      <c r="B17" s="71"/>
      <c r="C17" s="64">
        <f>4182110</f>
        <v>4182110</v>
      </c>
      <c r="D17" s="70"/>
      <c r="E17" s="19" t="s">
        <v>19</v>
      </c>
      <c r="F17" s="24">
        <v>430000</v>
      </c>
      <c r="G17" s="64">
        <v>0</v>
      </c>
      <c r="H17" s="71"/>
      <c r="J17" s="79"/>
      <c r="K17" s="11">
        <v>5538.63</v>
      </c>
      <c r="L17" s="225">
        <v>41033.05</v>
      </c>
      <c r="M17" s="225">
        <v>93544.26</v>
      </c>
      <c r="N17" s="11">
        <v>24186</v>
      </c>
      <c r="O17" s="11">
        <v>9820.24</v>
      </c>
      <c r="P17" s="226">
        <v>521731.06</v>
      </c>
      <c r="Q17" s="11">
        <v>0</v>
      </c>
      <c r="R17" s="225">
        <f>SUM(J17:Q17)</f>
        <v>695853.24</v>
      </c>
    </row>
    <row r="18" spans="1:8" ht="23.25">
      <c r="A18" s="63"/>
      <c r="B18" s="71"/>
      <c r="C18" s="73"/>
      <c r="D18" s="70"/>
      <c r="E18" s="19"/>
      <c r="F18" s="24"/>
      <c r="G18" s="64"/>
      <c r="H18" s="71"/>
    </row>
    <row r="19" spans="1:12" ht="24" thickBot="1">
      <c r="A19" s="65">
        <f>SUM(A8:A18)</f>
        <v>15510930</v>
      </c>
      <c r="B19" s="74"/>
      <c r="C19" s="75">
        <f>SUM(C10:C17)</f>
        <v>14488287.450000001</v>
      </c>
      <c r="D19" s="76"/>
      <c r="E19" s="19"/>
      <c r="F19" s="24"/>
      <c r="G19" s="75">
        <f>SUM(G10:G17)</f>
        <v>1285462.24</v>
      </c>
      <c r="H19" s="74"/>
      <c r="I19" s="16"/>
      <c r="J19" s="11">
        <v>1321443.82</v>
      </c>
      <c r="K19" s="79">
        <v>1969650</v>
      </c>
      <c r="L19" s="79">
        <f>SUM(J19:K19)</f>
        <v>3291093.8200000003</v>
      </c>
    </row>
    <row r="20" spans="1:10" ht="24" thickTop="1">
      <c r="A20" s="77"/>
      <c r="B20" s="77"/>
      <c r="C20" s="78"/>
      <c r="D20" s="71"/>
      <c r="E20" s="19"/>
      <c r="F20" s="24"/>
      <c r="G20" s="88"/>
      <c r="H20" s="89"/>
      <c r="J20" s="11">
        <v>36909.72</v>
      </c>
    </row>
    <row r="21" spans="1:11" ht="23.25">
      <c r="A21" s="77"/>
      <c r="B21" s="77"/>
      <c r="C21" s="64">
        <f>1148500+G21</f>
        <v>1148500</v>
      </c>
      <c r="D21" s="71"/>
      <c r="E21" s="19" t="s">
        <v>597</v>
      </c>
      <c r="F21" s="24"/>
      <c r="G21" s="64">
        <v>0</v>
      </c>
      <c r="H21" s="89"/>
      <c r="J21" s="79">
        <f>SUM(J19-J20)</f>
        <v>1284534.1</v>
      </c>
      <c r="K21" s="11">
        <v>217833.2</v>
      </c>
    </row>
    <row r="22" spans="1:11" ht="23.25">
      <c r="A22" s="77"/>
      <c r="B22" s="77"/>
      <c r="C22" s="64">
        <f>4416180+G22</f>
        <v>4468880</v>
      </c>
      <c r="D22" s="71"/>
      <c r="E22" s="19" t="s">
        <v>598</v>
      </c>
      <c r="F22" s="24">
        <v>440000</v>
      </c>
      <c r="G22" s="64">
        <v>52700</v>
      </c>
      <c r="H22" s="89"/>
      <c r="J22" s="11">
        <v>1587.49</v>
      </c>
      <c r="K22" s="11">
        <v>218034.06</v>
      </c>
    </row>
    <row r="23" spans="1:11" ht="23.25">
      <c r="A23" s="77"/>
      <c r="B23" s="77"/>
      <c r="C23" s="63">
        <f>157605.26+G23</f>
        <v>163692.83000000002</v>
      </c>
      <c r="D23" s="71"/>
      <c r="E23" s="19" t="s">
        <v>41</v>
      </c>
      <c r="F23" s="24">
        <v>230100</v>
      </c>
      <c r="G23" s="64">
        <f>SUM(รายละเอียดประกอบงบ!B17)</f>
        <v>6087.57</v>
      </c>
      <c r="H23" s="89"/>
      <c r="J23" s="79">
        <v>1350</v>
      </c>
      <c r="K23" s="11">
        <f>SUM(K22-K21)</f>
        <v>200.85999999998603</v>
      </c>
    </row>
    <row r="24" spans="1:11" ht="23.25">
      <c r="A24" s="77"/>
      <c r="B24" s="77"/>
      <c r="C24" s="64">
        <f>1390+G24</f>
        <v>1390</v>
      </c>
      <c r="D24" s="71"/>
      <c r="E24" s="19" t="s">
        <v>42</v>
      </c>
      <c r="F24" s="24">
        <v>110605</v>
      </c>
      <c r="G24" s="64">
        <v>0</v>
      </c>
      <c r="H24" s="89"/>
      <c r="J24" s="79">
        <f>SUM(C24+G24)</f>
        <v>1390</v>
      </c>
      <c r="K24" s="79">
        <f>SUM(C21)</f>
        <v>1148500</v>
      </c>
    </row>
    <row r="25" spans="1:11" ht="23.25">
      <c r="A25" s="77"/>
      <c r="B25" s="77"/>
      <c r="C25" s="63">
        <v>0</v>
      </c>
      <c r="D25" s="71"/>
      <c r="E25" s="19" t="s">
        <v>43</v>
      </c>
      <c r="F25" s="24">
        <v>110606</v>
      </c>
      <c r="G25" s="64">
        <v>0</v>
      </c>
      <c r="H25" s="89"/>
      <c r="J25" s="11">
        <v>0</v>
      </c>
      <c r="K25" s="11">
        <f>SUM(K23:K24)</f>
        <v>1148700.8599999999</v>
      </c>
    </row>
    <row r="26" spans="1:12" ht="23.25">
      <c r="A26" s="77"/>
      <c r="B26" s="77"/>
      <c r="C26" s="63">
        <v>0</v>
      </c>
      <c r="D26" s="71"/>
      <c r="E26" s="19" t="s">
        <v>370</v>
      </c>
      <c r="F26" s="24">
        <v>320200</v>
      </c>
      <c r="G26" s="64">
        <v>0</v>
      </c>
      <c r="H26" s="89"/>
      <c r="J26" s="11">
        <v>0</v>
      </c>
      <c r="L26" s="11">
        <v>3494792.43</v>
      </c>
    </row>
    <row r="27" spans="1:12" ht="23.25">
      <c r="A27" s="77"/>
      <c r="B27" s="77"/>
      <c r="C27" s="63">
        <f>1000+G27</f>
        <v>1000</v>
      </c>
      <c r="D27" s="71"/>
      <c r="E27" s="19" t="s">
        <v>378</v>
      </c>
      <c r="F27" s="24"/>
      <c r="G27" s="64">
        <v>0</v>
      </c>
      <c r="H27" s="89"/>
      <c r="J27" s="79">
        <f>SUM(J21:J26)</f>
        <v>1288861.59</v>
      </c>
      <c r="K27" s="11">
        <v>2521053.23</v>
      </c>
      <c r="L27" s="11">
        <v>3489180.08</v>
      </c>
    </row>
    <row r="28" spans="1:12" ht="23.25">
      <c r="A28" s="77"/>
      <c r="B28" s="77"/>
      <c r="C28" s="63">
        <f>1.37+G28</f>
        <v>1.37</v>
      </c>
      <c r="D28" s="71"/>
      <c r="E28" s="19" t="s">
        <v>24</v>
      </c>
      <c r="F28" s="24">
        <v>300000</v>
      </c>
      <c r="G28" s="64">
        <v>0</v>
      </c>
      <c r="H28" s="89"/>
      <c r="K28" s="11">
        <v>13784.16</v>
      </c>
      <c r="L28" s="11">
        <f>SUM(L26-L27)</f>
        <v>5612.350000000093</v>
      </c>
    </row>
    <row r="29" spans="1:11" ht="23.25">
      <c r="A29" s="77"/>
      <c r="B29" s="77"/>
      <c r="C29" s="63">
        <f>800+G29</f>
        <v>800</v>
      </c>
      <c r="D29" s="71"/>
      <c r="E29" s="21" t="s">
        <v>380</v>
      </c>
      <c r="F29" s="34"/>
      <c r="G29" s="73">
        <v>0</v>
      </c>
      <c r="H29" s="89"/>
      <c r="J29" s="11">
        <v>34860</v>
      </c>
      <c r="K29" s="11">
        <f>SUM(K27-K28)</f>
        <v>2507269.07</v>
      </c>
    </row>
    <row r="30" spans="1:10" ht="24" thickBot="1">
      <c r="A30" s="77"/>
      <c r="B30" s="77"/>
      <c r="C30" s="65">
        <f>SUM(C19:C29)</f>
        <v>20272551.650000002</v>
      </c>
      <c r="D30" s="74"/>
      <c r="E30" s="24" t="s">
        <v>45</v>
      </c>
      <c r="F30" s="35"/>
      <c r="G30" s="90">
        <f>SUM(G19:G29)</f>
        <v>1344249.81</v>
      </c>
      <c r="H30" s="91"/>
      <c r="J30" s="11">
        <f>SUM(J28:J29)</f>
        <v>34860</v>
      </c>
    </row>
    <row r="31" spans="1:10" ht="24" thickTop="1">
      <c r="A31" s="79"/>
      <c r="B31" s="79"/>
      <c r="C31" s="79"/>
      <c r="D31" s="79"/>
      <c r="E31" s="17"/>
      <c r="F31" s="26"/>
      <c r="G31" s="92"/>
      <c r="H31" s="93"/>
      <c r="J31" s="11">
        <v>18928301.84</v>
      </c>
    </row>
    <row r="32" spans="1:10" ht="23.25">
      <c r="A32" s="79"/>
      <c r="B32" s="79"/>
      <c r="C32" s="79"/>
      <c r="D32" s="79"/>
      <c r="E32" s="17"/>
      <c r="F32" s="26"/>
      <c r="G32" s="94"/>
      <c r="H32" s="94"/>
      <c r="J32" s="11">
        <v>18928082.69</v>
      </c>
    </row>
    <row r="33" spans="1:10" ht="23.25">
      <c r="A33" s="79"/>
      <c r="B33" s="79"/>
      <c r="C33" s="79"/>
      <c r="D33" s="79"/>
      <c r="E33" s="17"/>
      <c r="F33" s="26"/>
      <c r="G33" s="94"/>
      <c r="H33" s="94"/>
      <c r="J33" s="11">
        <f>SUM(J31-J32)</f>
        <v>219.14999999850988</v>
      </c>
    </row>
    <row r="34" spans="1:8" ht="23.25">
      <c r="A34" s="79"/>
      <c r="B34" s="79"/>
      <c r="C34" s="79"/>
      <c r="D34" s="79"/>
      <c r="E34" s="17"/>
      <c r="F34" s="26"/>
      <c r="G34" s="94"/>
      <c r="H34" s="94"/>
    </row>
    <row r="35" spans="1:8" ht="23.25">
      <c r="A35" s="79"/>
      <c r="B35" s="79"/>
      <c r="C35" s="79"/>
      <c r="D35" s="79"/>
      <c r="E35" s="17"/>
      <c r="F35" s="26"/>
      <c r="G35" s="94"/>
      <c r="H35" s="94"/>
    </row>
    <row r="36" spans="1:8" ht="23.25">
      <c r="A36" s="79"/>
      <c r="B36" s="79"/>
      <c r="C36" s="79"/>
      <c r="D36" s="79"/>
      <c r="E36" s="17"/>
      <c r="F36" s="26"/>
      <c r="G36" s="94"/>
      <c r="H36" s="94"/>
    </row>
    <row r="37" spans="1:9" ht="23.25">
      <c r="A37" s="297" t="s">
        <v>28</v>
      </c>
      <c r="B37" s="297"/>
      <c r="C37" s="297"/>
      <c r="D37" s="297"/>
      <c r="E37" s="8" t="s">
        <v>2</v>
      </c>
      <c r="F37" s="8" t="s">
        <v>32</v>
      </c>
      <c r="G37" s="294" t="s">
        <v>34</v>
      </c>
      <c r="H37" s="295"/>
      <c r="I37" s="25"/>
    </row>
    <row r="38" spans="1:9" ht="23.25">
      <c r="A38" s="298" t="s">
        <v>29</v>
      </c>
      <c r="B38" s="298"/>
      <c r="C38" s="298" t="s">
        <v>31</v>
      </c>
      <c r="D38" s="298"/>
      <c r="E38" s="19"/>
      <c r="F38" s="20" t="s">
        <v>33</v>
      </c>
      <c r="G38" s="299" t="s">
        <v>31</v>
      </c>
      <c r="H38" s="300"/>
      <c r="I38" s="25"/>
    </row>
    <row r="39" spans="1:9" ht="23.25">
      <c r="A39" s="293" t="s">
        <v>30</v>
      </c>
      <c r="B39" s="293"/>
      <c r="C39" s="293" t="s">
        <v>30</v>
      </c>
      <c r="D39" s="293"/>
      <c r="E39" s="21"/>
      <c r="F39" s="9"/>
      <c r="G39" s="294" t="s">
        <v>30</v>
      </c>
      <c r="H39" s="295"/>
      <c r="I39" s="25"/>
    </row>
    <row r="40" spans="1:10" ht="24" thickBot="1">
      <c r="A40" s="67"/>
      <c r="B40" s="80"/>
      <c r="C40" s="67"/>
      <c r="D40" s="66"/>
      <c r="E40" s="36" t="s">
        <v>46</v>
      </c>
      <c r="F40" s="33"/>
      <c r="G40" s="101"/>
      <c r="H40" s="89"/>
      <c r="I40" s="25"/>
      <c r="J40" s="58"/>
    </row>
    <row r="41" spans="1:10" ht="24" thickTop="1">
      <c r="A41" s="64">
        <v>630607</v>
      </c>
      <c r="B41" s="71"/>
      <c r="C41" s="64">
        <f>495100+G41</f>
        <v>497900</v>
      </c>
      <c r="D41" s="71"/>
      <c r="E41" s="19" t="s">
        <v>18</v>
      </c>
      <c r="F41" s="37" t="s">
        <v>159</v>
      </c>
      <c r="G41" s="95">
        <v>2800</v>
      </c>
      <c r="H41" s="71"/>
      <c r="I41" s="124"/>
      <c r="J41" s="79">
        <f>SUM(C41+G41)</f>
        <v>500700</v>
      </c>
    </row>
    <row r="42" spans="1:10" ht="23.25">
      <c r="A42" s="64">
        <v>2129640</v>
      </c>
      <c r="B42" s="71"/>
      <c r="C42" s="64">
        <f>1535310+G42</f>
        <v>1705900</v>
      </c>
      <c r="D42" s="71"/>
      <c r="E42" s="19" t="s">
        <v>215</v>
      </c>
      <c r="F42" s="37" t="s">
        <v>217</v>
      </c>
      <c r="G42" s="95">
        <v>170590</v>
      </c>
      <c r="H42" s="71"/>
      <c r="I42" s="25"/>
      <c r="J42" s="79">
        <f>SUM(G42+C42)</f>
        <v>1876490</v>
      </c>
    </row>
    <row r="43" spans="1:10" ht="23.25">
      <c r="A43" s="64">
        <v>3373750</v>
      </c>
      <c r="B43" s="71"/>
      <c r="C43" s="64">
        <f>2591087+G43</f>
        <v>2860494</v>
      </c>
      <c r="D43" s="71"/>
      <c r="E43" s="19" t="s">
        <v>216</v>
      </c>
      <c r="F43" s="37" t="s">
        <v>218</v>
      </c>
      <c r="G43" s="95">
        <v>269407</v>
      </c>
      <c r="H43" s="71"/>
      <c r="I43" s="25"/>
      <c r="J43" s="79">
        <f>SUM(C43+G43)</f>
        <v>3129901</v>
      </c>
    </row>
    <row r="44" spans="1:10" ht="23.25">
      <c r="A44" s="64">
        <v>650000</v>
      </c>
      <c r="B44" s="71"/>
      <c r="C44" s="64">
        <f>120129+G44</f>
        <v>132579</v>
      </c>
      <c r="D44" s="71"/>
      <c r="E44" s="19" t="s">
        <v>12</v>
      </c>
      <c r="F44" s="37" t="s">
        <v>160</v>
      </c>
      <c r="G44" s="95">
        <v>12450</v>
      </c>
      <c r="H44" s="71"/>
      <c r="I44" s="25"/>
      <c r="J44" s="79">
        <f>SUM(C44+G44)</f>
        <v>145029</v>
      </c>
    </row>
    <row r="45" spans="1:10" ht="23.25">
      <c r="A45" s="64">
        <v>2229510</v>
      </c>
      <c r="B45" s="71"/>
      <c r="C45" s="64">
        <f>888599.72+G45</f>
        <v>1055442.92</v>
      </c>
      <c r="D45" s="71"/>
      <c r="E45" s="19" t="s">
        <v>13</v>
      </c>
      <c r="F45" s="37" t="s">
        <v>161</v>
      </c>
      <c r="G45" s="95">
        <v>166843.2</v>
      </c>
      <c r="H45" s="71"/>
      <c r="I45" s="25"/>
      <c r="J45" s="79">
        <f>SUM(G45+C45)</f>
        <v>1222286.1199999999</v>
      </c>
    </row>
    <row r="46" spans="1:10" ht="23.25">
      <c r="A46" s="64">
        <v>1425100</v>
      </c>
      <c r="B46" s="71"/>
      <c r="C46" s="64">
        <f>921842.4+G46</f>
        <v>989100</v>
      </c>
      <c r="D46" s="71"/>
      <c r="E46" s="19" t="s">
        <v>47</v>
      </c>
      <c r="F46" s="37" t="s">
        <v>162</v>
      </c>
      <c r="G46" s="95">
        <v>67257.6</v>
      </c>
      <c r="H46" s="71"/>
      <c r="I46" s="25"/>
      <c r="J46" s="79">
        <f>SUM(C46+G46)</f>
        <v>1056357.6</v>
      </c>
    </row>
    <row r="47" spans="1:9" ht="23.25">
      <c r="A47" s="64"/>
      <c r="B47" s="71"/>
      <c r="C47" s="64">
        <f>0+G47</f>
        <v>52700</v>
      </c>
      <c r="D47" s="70"/>
      <c r="E47" s="19" t="s">
        <v>48</v>
      </c>
      <c r="F47" s="37"/>
      <c r="G47" s="95">
        <v>52700</v>
      </c>
      <c r="H47" s="71"/>
      <c r="I47" s="25"/>
    </row>
    <row r="48" spans="1:10" ht="23.25">
      <c r="A48" s="64">
        <v>270120</v>
      </c>
      <c r="B48" s="71"/>
      <c r="C48" s="64">
        <f>117646.96+G48</f>
        <v>146650.63</v>
      </c>
      <c r="D48" s="70"/>
      <c r="E48" s="19" t="s">
        <v>15</v>
      </c>
      <c r="F48" s="37" t="s">
        <v>163</v>
      </c>
      <c r="G48" s="95">
        <v>29003.67</v>
      </c>
      <c r="H48" s="71"/>
      <c r="I48" s="25"/>
      <c r="J48" s="79">
        <f>SUM(C48+G48)</f>
        <v>175654.3</v>
      </c>
    </row>
    <row r="49" spans="1:10" ht="23.25">
      <c r="A49" s="64">
        <v>661000</v>
      </c>
      <c r="B49" s="71"/>
      <c r="C49" s="64">
        <f>696000+G49</f>
        <v>696000</v>
      </c>
      <c r="D49" s="70"/>
      <c r="E49" s="19" t="s">
        <v>19</v>
      </c>
      <c r="F49" s="37" t="s">
        <v>219</v>
      </c>
      <c r="G49" s="95">
        <v>0</v>
      </c>
      <c r="H49" s="71"/>
      <c r="I49" s="25"/>
      <c r="J49" s="79">
        <f>SUM(C49+G49)</f>
        <v>696000</v>
      </c>
    </row>
    <row r="50" spans="1:10" ht="23.25">
      <c r="A50" s="64"/>
      <c r="B50" s="71"/>
      <c r="C50" s="64">
        <f>2073850+G50</f>
        <v>2410050</v>
      </c>
      <c r="D50" s="71"/>
      <c r="E50" s="19" t="s">
        <v>450</v>
      </c>
      <c r="F50" s="37"/>
      <c r="G50" s="95">
        <f>311700+24500</f>
        <v>336200</v>
      </c>
      <c r="H50" s="71"/>
      <c r="I50" s="25"/>
      <c r="J50" s="79">
        <f>SUM(C50+G50)</f>
        <v>2746250</v>
      </c>
    </row>
    <row r="51" spans="1:11" ht="23.25">
      <c r="A51" s="64">
        <v>541200</v>
      </c>
      <c r="B51" s="70"/>
      <c r="C51" s="64">
        <f>233456.5+G51</f>
        <v>239436.5</v>
      </c>
      <c r="D51" s="71"/>
      <c r="E51" s="19" t="s">
        <v>62</v>
      </c>
      <c r="F51" s="37" t="s">
        <v>220</v>
      </c>
      <c r="G51" s="95">
        <v>5980</v>
      </c>
      <c r="H51" s="71"/>
      <c r="I51" s="25"/>
      <c r="J51" s="79">
        <f>SUM(C51+G51)</f>
        <v>245416.5</v>
      </c>
      <c r="K51" s="79">
        <f>SUM(C50)</f>
        <v>2410050</v>
      </c>
    </row>
    <row r="52" spans="1:11" ht="23.25">
      <c r="A52" s="64"/>
      <c r="B52" s="70"/>
      <c r="C52" s="64"/>
      <c r="D52" s="71"/>
      <c r="E52" s="19" t="s">
        <v>49</v>
      </c>
      <c r="F52" s="37"/>
      <c r="G52" s="95"/>
      <c r="H52" s="71"/>
      <c r="I52" s="25"/>
      <c r="K52" s="11">
        <v>200.86</v>
      </c>
    </row>
    <row r="53" spans="1:11" ht="23.25">
      <c r="A53" s="64">
        <v>3600000</v>
      </c>
      <c r="B53" s="70"/>
      <c r="C53" s="64">
        <f>129800+G53</f>
        <v>129800</v>
      </c>
      <c r="D53" s="71"/>
      <c r="E53" s="19" t="s">
        <v>50</v>
      </c>
      <c r="F53" s="37" t="s">
        <v>221</v>
      </c>
      <c r="G53" s="95">
        <v>0</v>
      </c>
      <c r="H53" s="71"/>
      <c r="I53" s="25"/>
      <c r="J53" s="79">
        <f>SUM(C53+G53)</f>
        <v>129800</v>
      </c>
      <c r="K53" s="79">
        <f>SUM(K51:K52)</f>
        <v>2410250.86</v>
      </c>
    </row>
    <row r="54" spans="1:9" ht="23.25">
      <c r="A54" s="64">
        <v>0</v>
      </c>
      <c r="B54" s="70"/>
      <c r="C54" s="64"/>
      <c r="D54" s="71"/>
      <c r="E54" s="19" t="s">
        <v>51</v>
      </c>
      <c r="F54" s="37"/>
      <c r="G54" s="95">
        <v>0</v>
      </c>
      <c r="H54" s="71"/>
      <c r="I54" s="25"/>
    </row>
    <row r="55" spans="1:9" ht="23.25">
      <c r="A55" s="64">
        <v>0</v>
      </c>
      <c r="B55" s="70"/>
      <c r="C55" s="64">
        <f>SUM(G55)</f>
        <v>0</v>
      </c>
      <c r="D55" s="71"/>
      <c r="E55" s="19" t="s">
        <v>52</v>
      </c>
      <c r="F55" s="37" t="s">
        <v>222</v>
      </c>
      <c r="G55" s="95">
        <v>0</v>
      </c>
      <c r="H55" s="71"/>
      <c r="I55" s="25"/>
    </row>
    <row r="56" spans="1:9" ht="23.25">
      <c r="A56" s="81">
        <f>SUM(A40:A55)</f>
        <v>15510927</v>
      </c>
      <c r="B56" s="82"/>
      <c r="C56" s="81">
        <f>SUM(C41:C55)</f>
        <v>10916053.05</v>
      </c>
      <c r="D56" s="83"/>
      <c r="E56" s="19"/>
      <c r="F56" s="37"/>
      <c r="G56" s="96">
        <f>SUM(G41:G55)</f>
        <v>1113231.47</v>
      </c>
      <c r="H56" s="85"/>
      <c r="I56" s="25"/>
    </row>
    <row r="57" spans="1:9" ht="23.25">
      <c r="A57" s="77"/>
      <c r="B57" s="77"/>
      <c r="C57" s="64">
        <f>1148500+G57</f>
        <v>1148500</v>
      </c>
      <c r="D57" s="71"/>
      <c r="E57" s="19" t="s">
        <v>135</v>
      </c>
      <c r="F57" s="37"/>
      <c r="G57" s="64">
        <v>0</v>
      </c>
      <c r="H57" s="71"/>
      <c r="I57" s="25"/>
    </row>
    <row r="58" spans="1:9" ht="23.25">
      <c r="A58" s="77"/>
      <c r="B58" s="77"/>
      <c r="C58" s="64">
        <f>SUM(G58)</f>
        <v>0</v>
      </c>
      <c r="D58" s="71"/>
      <c r="E58" s="19" t="s">
        <v>25</v>
      </c>
      <c r="F58" s="37" t="s">
        <v>254</v>
      </c>
      <c r="G58" s="64">
        <v>0</v>
      </c>
      <c r="H58" s="71"/>
      <c r="I58" s="25"/>
    </row>
    <row r="59" spans="1:10" ht="23.25">
      <c r="A59" s="77"/>
      <c r="B59" s="77"/>
      <c r="C59" s="64">
        <f>480000+G59</f>
        <v>813999</v>
      </c>
      <c r="D59" s="71"/>
      <c r="E59" s="19" t="s">
        <v>24</v>
      </c>
      <c r="F59" s="37" t="s">
        <v>205</v>
      </c>
      <c r="G59" s="64">
        <v>333999</v>
      </c>
      <c r="H59" s="71"/>
      <c r="I59" s="25"/>
      <c r="J59" s="79">
        <v>1616977.36</v>
      </c>
    </row>
    <row r="60" spans="1:10" ht="23.25">
      <c r="A60" s="77"/>
      <c r="B60" s="77"/>
      <c r="C60" s="64">
        <f>178367.08+G60</f>
        <v>180033.83</v>
      </c>
      <c r="D60" s="71"/>
      <c r="E60" s="19" t="s">
        <v>53</v>
      </c>
      <c r="F60" s="37" t="s">
        <v>224</v>
      </c>
      <c r="G60" s="64">
        <f>SUM(รายละเอียดประกอบงบ!C17)</f>
        <v>1666.75</v>
      </c>
      <c r="H60" s="71"/>
      <c r="I60" s="25"/>
      <c r="J60" s="79">
        <v>17955.01</v>
      </c>
    </row>
    <row r="61" spans="1:10" ht="23.25">
      <c r="A61" s="77"/>
      <c r="B61" s="77"/>
      <c r="C61" s="64">
        <f>172740+G61</f>
        <v>180340</v>
      </c>
      <c r="D61" s="71"/>
      <c r="E61" s="19" t="s">
        <v>145</v>
      </c>
      <c r="F61" s="37" t="s">
        <v>164</v>
      </c>
      <c r="G61" s="64">
        <v>7600</v>
      </c>
      <c r="H61" s="71"/>
      <c r="I61" s="25"/>
      <c r="J61" s="79">
        <v>17140</v>
      </c>
    </row>
    <row r="62" spans="1:15" ht="23.25">
      <c r="A62" s="77"/>
      <c r="B62" s="77"/>
      <c r="C62" s="64">
        <v>178336.75</v>
      </c>
      <c r="D62" s="71"/>
      <c r="E62" s="19" t="s">
        <v>22</v>
      </c>
      <c r="F62" s="37" t="s">
        <v>223</v>
      </c>
      <c r="G62" s="64">
        <v>0</v>
      </c>
      <c r="H62" s="71"/>
      <c r="I62" s="25"/>
      <c r="J62" s="11">
        <v>24450</v>
      </c>
      <c r="O62" s="17"/>
    </row>
    <row r="63" spans="1:11" ht="23.25">
      <c r="A63" s="77"/>
      <c r="B63" s="77"/>
      <c r="C63" s="64">
        <f>1233330+G63</f>
        <v>1257780</v>
      </c>
      <c r="D63" s="71"/>
      <c r="E63" s="23" t="s">
        <v>144</v>
      </c>
      <c r="F63" s="37" t="s">
        <v>165</v>
      </c>
      <c r="G63" s="64">
        <v>24450</v>
      </c>
      <c r="H63" s="71"/>
      <c r="I63" s="25"/>
      <c r="J63" s="79">
        <f>SUM(J59:J62)</f>
        <v>1676522.37</v>
      </c>
      <c r="K63" s="17"/>
    </row>
    <row r="64" spans="1:11" ht="23.25">
      <c r="A64" s="77"/>
      <c r="B64" s="77"/>
      <c r="C64" s="64">
        <f>482032+G64</f>
        <v>482032</v>
      </c>
      <c r="D64" s="71"/>
      <c r="E64" s="23" t="s">
        <v>158</v>
      </c>
      <c r="F64" s="34">
        <v>210500</v>
      </c>
      <c r="G64" s="64">
        <v>0</v>
      </c>
      <c r="H64" s="71"/>
      <c r="I64" s="18"/>
      <c r="J64" s="11">
        <v>1676241.52</v>
      </c>
      <c r="K64" s="17"/>
    </row>
    <row r="65" spans="1:10" ht="23.25">
      <c r="A65" s="77"/>
      <c r="B65" s="77"/>
      <c r="C65" s="84">
        <f>SUM(C56:C64)</f>
        <v>15157074.63</v>
      </c>
      <c r="D65" s="85"/>
      <c r="E65" s="39" t="s">
        <v>54</v>
      </c>
      <c r="F65" s="38"/>
      <c r="G65" s="81">
        <f>SUM(G56:G64)</f>
        <v>1480947.22</v>
      </c>
      <c r="H65" s="85"/>
      <c r="I65" s="18"/>
      <c r="J65" s="79">
        <f>SUM(J63-J64)</f>
        <v>280.85000000009313</v>
      </c>
    </row>
    <row r="66" spans="1:12" ht="23.25">
      <c r="A66" s="77"/>
      <c r="B66" s="77"/>
      <c r="C66" s="67">
        <f>SUM(C30-C65)</f>
        <v>5115477.020000001</v>
      </c>
      <c r="D66" s="85"/>
      <c r="E66" s="39" t="s">
        <v>55</v>
      </c>
      <c r="F66" s="38"/>
      <c r="G66" s="67">
        <v>0</v>
      </c>
      <c r="H66" s="91"/>
      <c r="I66" s="18"/>
      <c r="L66" s="79">
        <f>SUM(งบทดลอง!K10)</f>
        <v>20362959.490000002</v>
      </c>
    </row>
    <row r="67" spans="1:12" ht="23.25">
      <c r="A67" s="77"/>
      <c r="B67" s="77"/>
      <c r="C67" s="63"/>
      <c r="D67" s="71"/>
      <c r="E67" s="39" t="s">
        <v>56</v>
      </c>
      <c r="F67" s="38"/>
      <c r="G67" s="64"/>
      <c r="H67" s="89"/>
      <c r="I67" s="18"/>
      <c r="J67" s="11">
        <v>500</v>
      </c>
      <c r="K67" s="215">
        <f>SUM(K63:K66)</f>
        <v>0</v>
      </c>
      <c r="L67" s="215">
        <v>21056490.09</v>
      </c>
    </row>
    <row r="68" spans="1:12" ht="23.25">
      <c r="A68" s="77"/>
      <c r="B68" s="77"/>
      <c r="C68" s="64"/>
      <c r="D68" s="71"/>
      <c r="E68" s="39" t="s">
        <v>57</v>
      </c>
      <c r="F68" s="38"/>
      <c r="G68" s="64">
        <f>SUM(G65-G30)</f>
        <v>136697.40999999992</v>
      </c>
      <c r="H68" s="89"/>
      <c r="I68" s="18"/>
      <c r="J68" s="11">
        <v>2790175.2</v>
      </c>
      <c r="K68" s="234">
        <v>19238220.03</v>
      </c>
      <c r="L68" s="215">
        <f>SUM(L66-L67)</f>
        <v>-693530.5999999978</v>
      </c>
    </row>
    <row r="69" spans="1:10" ht="24" thickBot="1">
      <c r="A69" s="77"/>
      <c r="B69" s="77"/>
      <c r="C69" s="58">
        <f>SUM(C8+C66)</f>
        <v>20362959.490000002</v>
      </c>
      <c r="D69" s="74"/>
      <c r="E69" s="39" t="s">
        <v>58</v>
      </c>
      <c r="F69" s="38"/>
      <c r="G69" s="75">
        <f>SUM(G8-G68)</f>
        <v>20362959.49</v>
      </c>
      <c r="H69" s="97"/>
      <c r="I69" s="18"/>
      <c r="J69" s="11">
        <v>121085.17</v>
      </c>
    </row>
    <row r="70" spans="1:10" ht="24" thickTop="1">
      <c r="A70" s="18"/>
      <c r="B70" s="18"/>
      <c r="C70" s="18"/>
      <c r="D70" s="18"/>
      <c r="E70" s="18"/>
      <c r="F70" s="40"/>
      <c r="G70" s="18"/>
      <c r="H70" s="18"/>
      <c r="I70" s="18"/>
      <c r="J70" s="11">
        <v>786832.48</v>
      </c>
    </row>
    <row r="71" spans="1:10" ht="23.25">
      <c r="A71" s="18" t="s">
        <v>59</v>
      </c>
      <c r="B71" s="18"/>
      <c r="C71" s="18"/>
      <c r="D71" s="18"/>
      <c r="E71" s="40" t="s">
        <v>60</v>
      </c>
      <c r="F71" s="296" t="s">
        <v>61</v>
      </c>
      <c r="G71" s="296"/>
      <c r="H71" s="296"/>
      <c r="I71" s="296"/>
      <c r="J71" s="11">
        <v>7547423.35</v>
      </c>
    </row>
    <row r="72" spans="1:11" ht="23.25">
      <c r="A72" s="230" t="s">
        <v>340</v>
      </c>
      <c r="B72" s="18"/>
      <c r="C72" s="18"/>
      <c r="D72" s="18"/>
      <c r="E72" s="40" t="s">
        <v>147</v>
      </c>
      <c r="F72" s="291" t="s">
        <v>382</v>
      </c>
      <c r="G72" s="291"/>
      <c r="H72" s="291"/>
      <c r="I72" s="291"/>
      <c r="J72" s="11">
        <f>SUM(J67:J71)</f>
        <v>11246016.2</v>
      </c>
      <c r="K72" s="234">
        <v>12450596.29</v>
      </c>
    </row>
    <row r="73" spans="1:9" ht="23.25">
      <c r="A73" s="40" t="s">
        <v>400</v>
      </c>
      <c r="B73" s="18"/>
      <c r="C73" s="18"/>
      <c r="D73" s="18"/>
      <c r="E73" s="231" t="s">
        <v>148</v>
      </c>
      <c r="F73" s="292" t="s">
        <v>154</v>
      </c>
      <c r="G73" s="292"/>
      <c r="H73" s="292"/>
      <c r="I73" s="292"/>
    </row>
    <row r="74" spans="6:9" ht="23.25">
      <c r="F74" s="291"/>
      <c r="G74" s="291"/>
      <c r="H74" s="291"/>
      <c r="I74" s="291"/>
    </row>
  </sheetData>
  <sheetProtection/>
  <mergeCells count="21">
    <mergeCell ref="A3:H3"/>
    <mergeCell ref="A5:D5"/>
    <mergeCell ref="A6:B6"/>
    <mergeCell ref="C6:D6"/>
    <mergeCell ref="A7:B7"/>
    <mergeCell ref="C7:D7"/>
    <mergeCell ref="A37:D37"/>
    <mergeCell ref="G37:H37"/>
    <mergeCell ref="A38:B38"/>
    <mergeCell ref="C38:D38"/>
    <mergeCell ref="G38:H38"/>
    <mergeCell ref="G5:H5"/>
    <mergeCell ref="G6:H6"/>
    <mergeCell ref="G7:H7"/>
    <mergeCell ref="F74:I74"/>
    <mergeCell ref="F72:I72"/>
    <mergeCell ref="F73:I73"/>
    <mergeCell ref="A39:B39"/>
    <mergeCell ref="C39:D39"/>
    <mergeCell ref="G39:H39"/>
    <mergeCell ref="F71:I71"/>
  </mergeCells>
  <printOptions/>
  <pageMargins left="0.984251968503937" right="0.1968503937007874" top="0.7874015748031497" bottom="0.1968503937007874" header="0.7086614173228347" footer="0.5118110236220472"/>
  <pageSetup horizontalDpi="600" verticalDpi="600" orientation="portrait" paperSize="9" scale="92" r:id="rId1"/>
  <rowBreaks count="1" manualBreakCount="1">
    <brk id="3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57">
      <selection activeCell="B62" sqref="B62"/>
    </sheetView>
  </sheetViews>
  <sheetFormatPr defaultColWidth="9.33203125" defaultRowHeight="21"/>
  <cols>
    <col min="1" max="1" width="88.33203125" style="27" customWidth="1"/>
    <col min="2" max="2" width="19.83203125" style="27" customWidth="1"/>
    <col min="3" max="3" width="9.33203125" style="27" customWidth="1"/>
    <col min="4" max="5" width="11" style="27" bestFit="1" customWidth="1"/>
    <col min="6" max="16384" width="9.33203125" style="27" customWidth="1"/>
  </cols>
  <sheetData>
    <row r="1" spans="1:2" ht="23.25">
      <c r="A1" s="307" t="s">
        <v>599</v>
      </c>
      <c r="B1" s="307"/>
    </row>
    <row r="2" spans="1:2" ht="23.25">
      <c r="A2" s="307" t="s">
        <v>638</v>
      </c>
      <c r="B2" s="307"/>
    </row>
    <row r="3" spans="1:2" ht="23.25">
      <c r="A3" s="31" t="s">
        <v>74</v>
      </c>
      <c r="B3" s="14" t="s">
        <v>103</v>
      </c>
    </row>
    <row r="4" spans="1:2" ht="23.25">
      <c r="A4" s="98" t="s">
        <v>75</v>
      </c>
      <c r="B4" s="98"/>
    </row>
    <row r="5" spans="1:2" ht="23.25">
      <c r="A5" s="98" t="s">
        <v>76</v>
      </c>
      <c r="B5" s="98"/>
    </row>
    <row r="6" spans="1:2" ht="23.25">
      <c r="A6" s="98" t="s">
        <v>77</v>
      </c>
      <c r="B6" s="47">
        <v>0</v>
      </c>
    </row>
    <row r="7" spans="1:2" ht="23.25">
      <c r="A7" s="98" t="s">
        <v>78</v>
      </c>
      <c r="B7" s="47">
        <v>1226</v>
      </c>
    </row>
    <row r="8" spans="1:2" ht="23.25">
      <c r="A8" s="98" t="s">
        <v>140</v>
      </c>
      <c r="B8" s="47">
        <v>0</v>
      </c>
    </row>
    <row r="9" spans="1:2" ht="23.25">
      <c r="A9" s="98" t="s">
        <v>79</v>
      </c>
      <c r="B9" s="99">
        <v>240</v>
      </c>
    </row>
    <row r="10" spans="1:2" ht="23.25">
      <c r="A10" s="98" t="s">
        <v>80</v>
      </c>
      <c r="B10" s="99">
        <v>0</v>
      </c>
    </row>
    <row r="11" spans="1:2" ht="23.25">
      <c r="A11" s="98" t="s">
        <v>81</v>
      </c>
      <c r="B11" s="99">
        <v>0</v>
      </c>
    </row>
    <row r="12" spans="1:2" ht="23.25">
      <c r="A12" s="98" t="s">
        <v>82</v>
      </c>
      <c r="B12" s="99">
        <v>0</v>
      </c>
    </row>
    <row r="13" spans="1:2" ht="23.25">
      <c r="A13" s="98" t="s">
        <v>83</v>
      </c>
      <c r="B13" s="99">
        <v>0</v>
      </c>
    </row>
    <row r="14" spans="1:2" ht="23.25">
      <c r="A14" s="98" t="s">
        <v>84</v>
      </c>
      <c r="B14" s="99"/>
    </row>
    <row r="15" spans="1:4" ht="23.25">
      <c r="A15" s="98" t="s">
        <v>85</v>
      </c>
      <c r="B15" s="47">
        <v>50</v>
      </c>
      <c r="D15" s="27">
        <v>64728</v>
      </c>
    </row>
    <row r="16" spans="1:4" ht="23.25">
      <c r="A16" s="98" t="s">
        <v>86</v>
      </c>
      <c r="B16" s="47">
        <f>1000+49468.35</f>
        <v>50468.35</v>
      </c>
      <c r="D16" s="27">
        <v>50</v>
      </c>
    </row>
    <row r="17" spans="1:4" ht="23.25">
      <c r="A17" s="98" t="s">
        <v>87</v>
      </c>
      <c r="B17" s="99">
        <v>0</v>
      </c>
      <c r="D17" s="27">
        <f>SUM(D15:D16)</f>
        <v>64778</v>
      </c>
    </row>
    <row r="18" spans="1:2" ht="23.25">
      <c r="A18" s="98" t="s">
        <v>88</v>
      </c>
      <c r="B18" s="47">
        <v>17000</v>
      </c>
    </row>
    <row r="19" spans="1:2" ht="23.25">
      <c r="A19" s="3" t="s">
        <v>372</v>
      </c>
      <c r="B19" s="47">
        <v>0</v>
      </c>
    </row>
    <row r="20" spans="1:2" ht="23.25">
      <c r="A20" s="98" t="s">
        <v>89</v>
      </c>
      <c r="B20" s="99"/>
    </row>
    <row r="21" spans="1:2" ht="23.25">
      <c r="A21" s="3" t="s">
        <v>371</v>
      </c>
      <c r="B21" s="99">
        <v>0</v>
      </c>
    </row>
    <row r="22" spans="1:2" ht="23.25">
      <c r="A22" s="98" t="s">
        <v>90</v>
      </c>
      <c r="B22" s="47">
        <v>18806.56</v>
      </c>
    </row>
    <row r="23" spans="1:2" ht="23.25">
      <c r="A23" s="98" t="s">
        <v>91</v>
      </c>
      <c r="B23" s="47">
        <v>169840.35</v>
      </c>
    </row>
    <row r="24" spans="1:2" ht="23.25">
      <c r="A24" s="98" t="s">
        <v>92</v>
      </c>
      <c r="B24" s="47">
        <v>235178.83</v>
      </c>
    </row>
    <row r="25" spans="1:2" ht="23.25">
      <c r="A25" s="98" t="s">
        <v>93</v>
      </c>
      <c r="B25" s="99">
        <v>0</v>
      </c>
    </row>
    <row r="26" spans="1:2" ht="23.25">
      <c r="A26" s="98" t="s">
        <v>94</v>
      </c>
      <c r="B26" s="99">
        <v>13931</v>
      </c>
    </row>
    <row r="27" spans="1:2" ht="23.25">
      <c r="A27" s="98" t="s">
        <v>95</v>
      </c>
      <c r="B27" s="99">
        <v>0</v>
      </c>
    </row>
    <row r="28" spans="1:2" ht="23.25">
      <c r="A28" s="98" t="s">
        <v>96</v>
      </c>
      <c r="B28" s="47">
        <v>0</v>
      </c>
    </row>
    <row r="29" spans="1:2" ht="23.25">
      <c r="A29" s="98" t="s">
        <v>97</v>
      </c>
      <c r="B29" s="47">
        <v>9594.72</v>
      </c>
    </row>
    <row r="30" spans="1:2" ht="23.25">
      <c r="A30" s="3" t="s">
        <v>206</v>
      </c>
      <c r="B30" s="47">
        <v>0</v>
      </c>
    </row>
    <row r="31" spans="1:2" ht="23.25">
      <c r="A31" s="98" t="s">
        <v>98</v>
      </c>
      <c r="B31" s="99">
        <v>0</v>
      </c>
    </row>
    <row r="32" spans="1:2" ht="23.25">
      <c r="A32" s="98" t="s">
        <v>99</v>
      </c>
      <c r="B32" s="47">
        <v>769126.43</v>
      </c>
    </row>
    <row r="33" spans="1:2" ht="23.25">
      <c r="A33" s="98" t="s">
        <v>100</v>
      </c>
      <c r="B33" s="99"/>
    </row>
    <row r="34" spans="1:4" ht="23.25">
      <c r="A34" s="3" t="s">
        <v>207</v>
      </c>
      <c r="B34" s="47">
        <v>0</v>
      </c>
      <c r="D34" s="27">
        <v>66000</v>
      </c>
    </row>
    <row r="35" spans="1:4" ht="23.25">
      <c r="A35" s="98" t="s">
        <v>101</v>
      </c>
      <c r="B35" s="47">
        <v>52700</v>
      </c>
      <c r="D35" s="27">
        <v>6500</v>
      </c>
    </row>
    <row r="36" spans="1:4" ht="23.25">
      <c r="A36" s="98" t="s">
        <v>102</v>
      </c>
      <c r="B36" s="99"/>
      <c r="D36" s="27">
        <v>854000</v>
      </c>
    </row>
    <row r="37" spans="1:4" ht="23.25">
      <c r="A37" s="31" t="s">
        <v>74</v>
      </c>
      <c r="B37" s="48" t="s">
        <v>103</v>
      </c>
      <c r="D37" s="27">
        <f>SUM(D34:D36)</f>
        <v>926500</v>
      </c>
    </row>
    <row r="38" spans="1:2" ht="23.25">
      <c r="A38" s="98" t="s">
        <v>104</v>
      </c>
      <c r="B38" s="99">
        <f>SUM(B6:B36)</f>
        <v>1338162.24</v>
      </c>
    </row>
    <row r="39" spans="1:2" ht="23.25">
      <c r="A39" s="98" t="s">
        <v>105</v>
      </c>
      <c r="B39" s="99"/>
    </row>
    <row r="40" spans="1:2" ht="23.25">
      <c r="A40" s="98" t="s">
        <v>106</v>
      </c>
      <c r="B40" s="99">
        <v>0</v>
      </c>
    </row>
    <row r="41" spans="1:2" ht="23.25">
      <c r="A41" s="98" t="s">
        <v>107</v>
      </c>
      <c r="B41" s="99" t="s">
        <v>146</v>
      </c>
    </row>
    <row r="42" spans="1:2" ht="23.25">
      <c r="A42" s="98" t="s">
        <v>108</v>
      </c>
      <c r="B42" s="99">
        <v>0</v>
      </c>
    </row>
    <row r="43" spans="1:2" ht="23.25">
      <c r="A43" s="98" t="s">
        <v>109</v>
      </c>
      <c r="B43" s="99">
        <f>SUM(B38:B42)</f>
        <v>1338162.24</v>
      </c>
    </row>
    <row r="44" spans="1:2" ht="23.25">
      <c r="A44" s="98" t="s">
        <v>110</v>
      </c>
      <c r="B44" s="99"/>
    </row>
    <row r="45" spans="1:2" ht="23.25">
      <c r="A45" s="98" t="s">
        <v>111</v>
      </c>
      <c r="B45" s="99">
        <v>0</v>
      </c>
    </row>
    <row r="46" spans="1:2" ht="23.25">
      <c r="A46" s="100" t="s">
        <v>112</v>
      </c>
      <c r="B46" s="47">
        <v>0</v>
      </c>
    </row>
    <row r="47" spans="1:2" ht="23.25">
      <c r="A47" s="98" t="s">
        <v>113</v>
      </c>
      <c r="B47" s="99">
        <v>0</v>
      </c>
    </row>
    <row r="48" spans="1:2" ht="23.25">
      <c r="A48" s="98" t="s">
        <v>114</v>
      </c>
      <c r="B48" s="99">
        <v>0</v>
      </c>
    </row>
    <row r="49" spans="1:5" ht="23.25">
      <c r="A49" s="98" t="s">
        <v>115</v>
      </c>
      <c r="B49" s="99">
        <v>2800</v>
      </c>
      <c r="D49" s="27">
        <v>24707</v>
      </c>
      <c r="E49" s="27">
        <v>1000</v>
      </c>
    </row>
    <row r="50" spans="1:5" ht="23.25">
      <c r="A50" s="98" t="s">
        <v>116</v>
      </c>
      <c r="B50" s="99"/>
      <c r="D50" s="27">
        <v>42886.65</v>
      </c>
      <c r="E50" s="27">
        <v>3240</v>
      </c>
    </row>
    <row r="51" spans="1:5" ht="23.25">
      <c r="A51" s="3" t="s">
        <v>225</v>
      </c>
      <c r="B51" s="99">
        <v>170590</v>
      </c>
      <c r="D51" s="27">
        <v>14732</v>
      </c>
      <c r="E51" s="27">
        <v>10500</v>
      </c>
    </row>
    <row r="52" spans="1:5" ht="23.25">
      <c r="A52" s="3" t="s">
        <v>226</v>
      </c>
      <c r="B52" s="99">
        <v>269407</v>
      </c>
      <c r="D52" s="27">
        <f>SUM(D49:D51)</f>
        <v>82325.65</v>
      </c>
      <c r="E52" s="27">
        <f>SUM(E49:E51)</f>
        <v>14740</v>
      </c>
    </row>
    <row r="53" spans="1:4" ht="23.25">
      <c r="A53" s="98" t="s">
        <v>117</v>
      </c>
      <c r="B53" s="99">
        <f>12450+166473.2+67627.6</f>
        <v>246550.80000000002</v>
      </c>
      <c r="D53" s="224">
        <v>11060</v>
      </c>
    </row>
    <row r="54" spans="1:4" ht="23.25">
      <c r="A54" s="98" t="s">
        <v>118</v>
      </c>
      <c r="B54" s="99">
        <v>29003.67</v>
      </c>
      <c r="D54" s="224">
        <v>228673.5</v>
      </c>
    </row>
    <row r="55" spans="1:4" ht="23.25">
      <c r="A55" s="98" t="s">
        <v>119</v>
      </c>
      <c r="B55" s="47">
        <v>0</v>
      </c>
      <c r="D55" s="224">
        <v>181434.44</v>
      </c>
    </row>
    <row r="56" spans="1:4" ht="23.25">
      <c r="A56" s="98" t="s">
        <v>120</v>
      </c>
      <c r="B56" s="99">
        <v>0</v>
      </c>
      <c r="D56" s="224">
        <f>SUM(D53:D55)</f>
        <v>421167.94</v>
      </c>
    </row>
    <row r="57" spans="1:2" ht="23.25">
      <c r="A57" s="98" t="s">
        <v>121</v>
      </c>
      <c r="B57" s="99">
        <v>0</v>
      </c>
    </row>
    <row r="58" spans="1:2" ht="23.25">
      <c r="A58" s="98" t="s">
        <v>122</v>
      </c>
      <c r="B58" s="99"/>
    </row>
    <row r="59" spans="1:6" ht="23.25">
      <c r="A59" s="98" t="s">
        <v>123</v>
      </c>
      <c r="B59" s="99">
        <v>5980</v>
      </c>
      <c r="D59" s="27">
        <v>6990</v>
      </c>
      <c r="E59" s="27">
        <v>258340</v>
      </c>
      <c r="F59" s="27">
        <f>SUM(D59:E59)</f>
        <v>265330</v>
      </c>
    </row>
    <row r="60" spans="1:2" ht="23.25">
      <c r="A60" s="98" t="s">
        <v>124</v>
      </c>
      <c r="B60" s="99"/>
    </row>
    <row r="61" spans="1:4" ht="23.25">
      <c r="A61" s="3" t="s">
        <v>345</v>
      </c>
      <c r="B61" s="47">
        <f>311700+24500+52700</f>
        <v>388900</v>
      </c>
      <c r="D61" s="27">
        <v>301800</v>
      </c>
    </row>
    <row r="62" spans="1:4" ht="23.25">
      <c r="A62" s="98" t="s">
        <v>125</v>
      </c>
      <c r="B62" s="99">
        <v>333999</v>
      </c>
      <c r="D62" s="27">
        <v>20500</v>
      </c>
    </row>
    <row r="63" spans="1:4" ht="23.25">
      <c r="A63" s="98" t="s">
        <v>126</v>
      </c>
      <c r="B63" s="47">
        <v>0</v>
      </c>
      <c r="D63" s="27">
        <v>10000</v>
      </c>
    </row>
    <row r="64" spans="1:7" ht="23.25">
      <c r="A64" s="98" t="s">
        <v>127</v>
      </c>
      <c r="B64" s="47">
        <f>24450+7600+316.75+1350</f>
        <v>33716.75</v>
      </c>
      <c r="C64" s="27">
        <v>0</v>
      </c>
      <c r="D64" s="27">
        <v>367960</v>
      </c>
      <c r="E64" s="27">
        <v>5900</v>
      </c>
      <c r="F64" s="27">
        <v>0</v>
      </c>
      <c r="G64" s="27">
        <f>SUM(C64:F64)</f>
        <v>373860</v>
      </c>
    </row>
    <row r="65" spans="1:4" ht="23.25">
      <c r="A65" s="98" t="s">
        <v>128</v>
      </c>
      <c r="B65" s="99"/>
      <c r="D65" s="27">
        <f>SUM(D61:D64)</f>
        <v>700260</v>
      </c>
    </row>
    <row r="66" spans="1:5" ht="23.25">
      <c r="A66" s="98" t="s">
        <v>129</v>
      </c>
      <c r="B66" s="99">
        <v>0</v>
      </c>
      <c r="E66" s="27">
        <v>1441.85</v>
      </c>
    </row>
    <row r="67" spans="1:5" ht="23.25">
      <c r="A67" s="98" t="s">
        <v>130</v>
      </c>
      <c r="B67" s="47">
        <v>0</v>
      </c>
      <c r="E67" s="27">
        <v>61289</v>
      </c>
    </row>
    <row r="68" spans="1:5" ht="23.25">
      <c r="A68" s="98" t="s">
        <v>131</v>
      </c>
      <c r="B68" s="47">
        <v>0</v>
      </c>
      <c r="E68" s="27">
        <v>122956</v>
      </c>
    </row>
    <row r="69" spans="1:5" ht="23.25">
      <c r="A69" s="98" t="s">
        <v>132</v>
      </c>
      <c r="B69" s="99">
        <v>0</v>
      </c>
      <c r="E69" s="224">
        <f>SUM(E66:E68)</f>
        <v>185686.85</v>
      </c>
    </row>
    <row r="70" spans="1:5" ht="23.25">
      <c r="A70" s="98" t="s">
        <v>133</v>
      </c>
      <c r="B70" s="99">
        <f>SUM(B45:B69)</f>
        <v>1480947.2200000002</v>
      </c>
      <c r="E70" s="27">
        <v>1140741.8</v>
      </c>
    </row>
    <row r="71" spans="1:5" ht="23.25">
      <c r="A71" s="98" t="s">
        <v>134</v>
      </c>
      <c r="B71" s="123">
        <v>0</v>
      </c>
      <c r="E71" s="27">
        <v>1141241.8</v>
      </c>
    </row>
    <row r="72" spans="2:5" ht="23.25">
      <c r="B72" s="102"/>
      <c r="E72" s="27">
        <f>SUM(E70-E71)</f>
        <v>-500</v>
      </c>
    </row>
  </sheetData>
  <sheetProtection/>
  <mergeCells count="2">
    <mergeCell ref="A1:B1"/>
    <mergeCell ref="A2:B2"/>
  </mergeCells>
  <printOptions verticalCentered="1"/>
  <pageMargins left="0.7874015748031497" right="0.1968503937007874" top="0.5905511811023623" bottom="0.1968503937007874" header="0.5905511811023623" footer="0.5118110236220472"/>
  <pageSetup horizontalDpi="600" verticalDpi="600" orientation="portrait" paperSize="9" scale="99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D8" sqref="D8"/>
    </sheetView>
  </sheetViews>
  <sheetFormatPr defaultColWidth="9.33203125" defaultRowHeight="21"/>
  <cols>
    <col min="1" max="1" width="55.66015625" style="0" customWidth="1"/>
    <col min="2" max="4" width="15.83203125" style="1" customWidth="1"/>
  </cols>
  <sheetData>
    <row r="1" spans="1:4" ht="26.25">
      <c r="A1" s="311" t="s">
        <v>0</v>
      </c>
      <c r="B1" s="311"/>
      <c r="C1" s="311"/>
      <c r="D1" s="311"/>
    </row>
    <row r="2" spans="1:4" ht="26.25">
      <c r="A2" s="311" t="s">
        <v>141</v>
      </c>
      <c r="B2" s="311"/>
      <c r="C2" s="311"/>
      <c r="D2" s="311"/>
    </row>
    <row r="4" spans="1:4" ht="23.25">
      <c r="A4" s="28" t="s">
        <v>153</v>
      </c>
      <c r="B4" s="14" t="s">
        <v>71</v>
      </c>
      <c r="C4" s="14" t="s">
        <v>72</v>
      </c>
      <c r="D4" s="14" t="s">
        <v>73</v>
      </c>
    </row>
    <row r="5" spans="1:4" ht="23.25">
      <c r="A5" s="27" t="s">
        <v>63</v>
      </c>
      <c r="B5" s="47">
        <v>1350</v>
      </c>
      <c r="C5" s="47">
        <v>1350</v>
      </c>
      <c r="D5" s="47" t="s">
        <v>146</v>
      </c>
    </row>
    <row r="6" spans="1:4" ht="23.25">
      <c r="A6" s="27" t="s">
        <v>152</v>
      </c>
      <c r="B6" s="47">
        <v>4737.57</v>
      </c>
      <c r="C6" s="47">
        <v>316.75</v>
      </c>
      <c r="D6" s="47">
        <f>316.75-C6+B6</f>
        <v>4737.57</v>
      </c>
    </row>
    <row r="7" spans="1:4" ht="23.25">
      <c r="A7" s="27" t="s">
        <v>64</v>
      </c>
      <c r="B7" s="47">
        <v>0</v>
      </c>
      <c r="C7" s="47">
        <v>0</v>
      </c>
      <c r="D7" s="47">
        <f>172198+B7-C7</f>
        <v>172198</v>
      </c>
    </row>
    <row r="8" spans="1:4" ht="23.25">
      <c r="A8" s="30">
        <v>0.05</v>
      </c>
      <c r="B8" s="47">
        <v>0</v>
      </c>
      <c r="C8" s="47">
        <v>0</v>
      </c>
      <c r="D8" s="47">
        <v>0</v>
      </c>
    </row>
    <row r="9" spans="1:4" ht="23.25">
      <c r="A9" s="155" t="s">
        <v>604</v>
      </c>
      <c r="B9" s="47">
        <v>0</v>
      </c>
      <c r="C9" s="47">
        <v>0</v>
      </c>
      <c r="D9" s="47">
        <v>0</v>
      </c>
    </row>
    <row r="10" spans="1:4" ht="23.25">
      <c r="A10" s="27" t="s">
        <v>65</v>
      </c>
      <c r="B10" s="47" t="s">
        <v>146</v>
      </c>
      <c r="C10" s="47" t="s">
        <v>146</v>
      </c>
      <c r="D10" s="47" t="s">
        <v>146</v>
      </c>
    </row>
    <row r="11" spans="1:4" ht="23.25">
      <c r="A11" s="27" t="s">
        <v>142</v>
      </c>
      <c r="B11" s="47" t="s">
        <v>146</v>
      </c>
      <c r="C11" s="47" t="s">
        <v>146</v>
      </c>
      <c r="D11" s="47" t="s">
        <v>146</v>
      </c>
    </row>
    <row r="12" spans="1:4" ht="23.25">
      <c r="A12" s="27" t="s">
        <v>66</v>
      </c>
      <c r="B12" s="47">
        <v>0</v>
      </c>
      <c r="C12" s="47">
        <v>0</v>
      </c>
      <c r="D12" s="47">
        <f>386100.26+B12-C12</f>
        <v>386100.26</v>
      </c>
    </row>
    <row r="13" spans="1:4" ht="23.25">
      <c r="A13" s="27" t="s">
        <v>67</v>
      </c>
      <c r="B13" s="47" t="s">
        <v>146</v>
      </c>
      <c r="C13" s="47" t="s">
        <v>146</v>
      </c>
      <c r="D13" s="47" t="s">
        <v>146</v>
      </c>
    </row>
    <row r="14" spans="1:4" ht="23.25">
      <c r="A14" s="11" t="s">
        <v>586</v>
      </c>
      <c r="B14" s="47">
        <v>0</v>
      </c>
      <c r="C14" s="47">
        <v>0</v>
      </c>
      <c r="D14" s="47">
        <v>0</v>
      </c>
    </row>
    <row r="15" spans="1:4" ht="23.25">
      <c r="A15" s="11" t="s">
        <v>587</v>
      </c>
      <c r="B15" s="47" t="s">
        <v>146</v>
      </c>
      <c r="C15" s="47" t="s">
        <v>146</v>
      </c>
      <c r="D15" s="47">
        <v>0</v>
      </c>
    </row>
    <row r="16" spans="1:4" ht="23.25">
      <c r="A16" s="11" t="s">
        <v>399</v>
      </c>
      <c r="B16" s="47">
        <v>0</v>
      </c>
      <c r="C16" s="47" t="s">
        <v>146</v>
      </c>
      <c r="D16" s="47">
        <v>0</v>
      </c>
    </row>
    <row r="17" spans="1:4" ht="23.25">
      <c r="A17" s="27" t="s">
        <v>68</v>
      </c>
      <c r="B17" s="47">
        <f>SUM(B5:B16)</f>
        <v>6087.57</v>
      </c>
      <c r="C17" s="47">
        <f>SUM(C5:C16)</f>
        <v>1666.75</v>
      </c>
      <c r="D17" s="47">
        <f>SUM(D6:D16)</f>
        <v>563035.8300000001</v>
      </c>
    </row>
    <row r="18" ht="21">
      <c r="B18" s="103"/>
    </row>
    <row r="19" spans="1:2" ht="23.25">
      <c r="A19" s="29" t="s">
        <v>432</v>
      </c>
      <c r="B19" s="32"/>
    </row>
    <row r="20" spans="1:4" ht="21">
      <c r="A20" s="29" t="s">
        <v>433</v>
      </c>
      <c r="B20" s="104" t="s">
        <v>150</v>
      </c>
      <c r="C20" s="4" t="s">
        <v>72</v>
      </c>
      <c r="D20" s="6" t="s">
        <v>73</v>
      </c>
    </row>
    <row r="21" spans="1:4" ht="21">
      <c r="A21" t="s">
        <v>149</v>
      </c>
      <c r="B21" s="105"/>
      <c r="C21" s="108"/>
      <c r="D21" s="107"/>
    </row>
    <row r="22" spans="1:4" ht="21">
      <c r="A22" s="18" t="s">
        <v>208</v>
      </c>
      <c r="B22" s="109"/>
      <c r="C22" s="110"/>
      <c r="D22" s="111"/>
    </row>
    <row r="23" spans="1:4" ht="21">
      <c r="A23" t="s">
        <v>157</v>
      </c>
      <c r="B23" s="109">
        <v>484860</v>
      </c>
      <c r="C23" s="110">
        <v>0</v>
      </c>
      <c r="D23" s="142">
        <f>2828-C230</f>
        <v>2828</v>
      </c>
    </row>
    <row r="24" spans="1:4" ht="21">
      <c r="A24" s="29" t="s">
        <v>434</v>
      </c>
      <c r="B24" s="109"/>
      <c r="C24" s="110"/>
      <c r="D24" s="142"/>
    </row>
    <row r="25" spans="1:4" ht="21">
      <c r="A25" s="141" t="s">
        <v>209</v>
      </c>
      <c r="B25" s="109"/>
      <c r="C25" s="110"/>
      <c r="D25" s="111"/>
    </row>
    <row r="26" spans="1:4" ht="21">
      <c r="A26" s="18" t="s">
        <v>210</v>
      </c>
      <c r="B26" s="109">
        <v>4936.75</v>
      </c>
      <c r="C26" s="110"/>
      <c r="D26" s="111">
        <v>0</v>
      </c>
    </row>
    <row r="27" spans="1:4" ht="21">
      <c r="A27" s="18" t="s">
        <v>594</v>
      </c>
      <c r="B27" s="109"/>
      <c r="C27" s="110"/>
      <c r="D27" s="111" t="s">
        <v>146</v>
      </c>
    </row>
    <row r="28" spans="1:4" ht="21">
      <c r="A28" s="18" t="s">
        <v>595</v>
      </c>
      <c r="B28" s="109">
        <v>173400</v>
      </c>
      <c r="C28" s="110"/>
      <c r="D28" s="111" t="s">
        <v>146</v>
      </c>
    </row>
    <row r="29" spans="1:4" ht="21">
      <c r="A29" s="18"/>
      <c r="B29" s="109">
        <v>0</v>
      </c>
      <c r="C29" s="110"/>
      <c r="D29" s="111">
        <v>0</v>
      </c>
    </row>
    <row r="30" spans="1:4" ht="21">
      <c r="A30" s="18"/>
      <c r="B30" s="109"/>
      <c r="C30" s="110"/>
      <c r="D30" s="111">
        <f>SUM(B30-C30)</f>
        <v>0</v>
      </c>
    </row>
    <row r="31" spans="2:4" ht="21">
      <c r="B31" s="122">
        <f>SUM(B23:B30)</f>
        <v>663196.75</v>
      </c>
      <c r="C31" s="121">
        <f>SUM(C23:C30)</f>
        <v>0</v>
      </c>
      <c r="D31" s="120">
        <f>SUM(D23:D30)</f>
        <v>2828</v>
      </c>
    </row>
    <row r="32" ht="21">
      <c r="B32" s="103"/>
    </row>
    <row r="33" spans="1:4" ht="26.25">
      <c r="A33" s="311" t="s">
        <v>0</v>
      </c>
      <c r="B33" s="311"/>
      <c r="C33" s="311"/>
      <c r="D33" s="311"/>
    </row>
    <row r="34" spans="1:4" ht="26.25">
      <c r="A34" s="311" t="s">
        <v>141</v>
      </c>
      <c r="B34" s="311"/>
      <c r="C34" s="311"/>
      <c r="D34" s="311"/>
    </row>
    <row r="36" spans="1:4" ht="23.25">
      <c r="A36" s="28" t="s">
        <v>153</v>
      </c>
      <c r="B36" s="14" t="s">
        <v>71</v>
      </c>
      <c r="C36" s="14" t="s">
        <v>72</v>
      </c>
      <c r="D36" s="14" t="s">
        <v>73</v>
      </c>
    </row>
    <row r="37" spans="1:4" ht="23.25">
      <c r="A37" s="11" t="s">
        <v>63</v>
      </c>
      <c r="B37" s="47" t="s">
        <v>146</v>
      </c>
      <c r="C37" s="47" t="s">
        <v>146</v>
      </c>
      <c r="D37" s="47" t="s">
        <v>146</v>
      </c>
    </row>
    <row r="38" spans="1:4" ht="23.25">
      <c r="A38" s="11" t="s">
        <v>152</v>
      </c>
      <c r="B38" s="47">
        <v>2792.57</v>
      </c>
      <c r="C38" s="47">
        <v>2792.57</v>
      </c>
      <c r="D38" s="47" t="s">
        <v>146</v>
      </c>
    </row>
    <row r="39" spans="1:4" ht="23.25">
      <c r="A39" s="11" t="s">
        <v>64</v>
      </c>
      <c r="B39" s="47">
        <v>0</v>
      </c>
      <c r="C39" s="47">
        <v>0</v>
      </c>
      <c r="D39" s="47">
        <v>142375</v>
      </c>
    </row>
    <row r="40" spans="1:4" ht="23.25">
      <c r="A40" s="155">
        <v>0.05</v>
      </c>
      <c r="B40" s="47">
        <v>106.15</v>
      </c>
      <c r="C40" s="47">
        <v>0</v>
      </c>
      <c r="D40" s="47">
        <v>1483.65</v>
      </c>
    </row>
    <row r="41" spans="1:4" ht="23.25">
      <c r="A41" s="155">
        <v>0.06</v>
      </c>
      <c r="B41" s="47">
        <v>127.38</v>
      </c>
      <c r="C41" s="47">
        <v>0</v>
      </c>
      <c r="D41" s="47">
        <v>1780.38</v>
      </c>
    </row>
    <row r="42" spans="1:4" ht="23.25">
      <c r="A42" s="11" t="s">
        <v>65</v>
      </c>
      <c r="B42" s="47" t="s">
        <v>146</v>
      </c>
      <c r="C42" s="47" t="s">
        <v>146</v>
      </c>
      <c r="D42" s="47" t="s">
        <v>146</v>
      </c>
    </row>
    <row r="43" spans="1:4" ht="23.25">
      <c r="A43" s="11" t="s">
        <v>142</v>
      </c>
      <c r="B43" s="47" t="s">
        <v>146</v>
      </c>
      <c r="C43" s="47" t="s">
        <v>146</v>
      </c>
      <c r="D43" s="47" t="s">
        <v>146</v>
      </c>
    </row>
    <row r="44" spans="1:4" ht="23.25">
      <c r="A44" s="11" t="s">
        <v>66</v>
      </c>
      <c r="B44" s="204">
        <v>35364.05</v>
      </c>
      <c r="C44" s="47">
        <v>400000</v>
      </c>
      <c r="D44" s="47">
        <v>295973.48</v>
      </c>
    </row>
    <row r="45" spans="1:4" ht="23.25">
      <c r="A45" s="11" t="s">
        <v>67</v>
      </c>
      <c r="B45" s="47" t="s">
        <v>146</v>
      </c>
      <c r="C45" s="47" t="s">
        <v>146</v>
      </c>
      <c r="D45" s="47" t="s">
        <v>146</v>
      </c>
    </row>
    <row r="46" spans="1:4" ht="23.25">
      <c r="A46" s="11" t="s">
        <v>167</v>
      </c>
      <c r="B46" s="47">
        <v>0</v>
      </c>
      <c r="C46" s="47">
        <v>0</v>
      </c>
      <c r="D46" s="47">
        <v>0</v>
      </c>
    </row>
    <row r="47" spans="1:4" ht="23.25">
      <c r="A47" s="11" t="s">
        <v>263</v>
      </c>
      <c r="B47" s="47" t="s">
        <v>146</v>
      </c>
      <c r="C47" s="47" t="s">
        <v>146</v>
      </c>
      <c r="D47" s="47" t="s">
        <v>146</v>
      </c>
    </row>
    <row r="48" spans="1:4" ht="23.25">
      <c r="A48" s="11" t="s">
        <v>262</v>
      </c>
      <c r="B48" s="47" t="s">
        <v>146</v>
      </c>
      <c r="C48" s="47">
        <v>0</v>
      </c>
      <c r="D48" s="47">
        <v>0</v>
      </c>
    </row>
    <row r="49" spans="1:4" ht="23.25">
      <c r="A49" s="11" t="s">
        <v>68</v>
      </c>
      <c r="B49" s="47">
        <f>SUM(B38:B48)</f>
        <v>38390.15</v>
      </c>
      <c r="C49" s="47">
        <f>SUM(C38:C48)</f>
        <v>402792.57</v>
      </c>
      <c r="D49" s="47">
        <f>SUM(D39:D48)</f>
        <v>441612.51</v>
      </c>
    </row>
    <row r="50" ht="21">
      <c r="B50" s="103"/>
    </row>
    <row r="52" spans="1:2" ht="23.25">
      <c r="A52" s="29" t="s">
        <v>69</v>
      </c>
      <c r="B52" s="15"/>
    </row>
    <row r="53" spans="1:4" ht="21">
      <c r="A53" s="29" t="s">
        <v>70</v>
      </c>
      <c r="B53" s="104" t="s">
        <v>150</v>
      </c>
      <c r="C53" s="4" t="s">
        <v>72</v>
      </c>
      <c r="D53" s="6" t="s">
        <v>73</v>
      </c>
    </row>
    <row r="54" spans="1:4" ht="21">
      <c r="A54" t="s">
        <v>149</v>
      </c>
      <c r="B54" s="105"/>
      <c r="C54" s="108"/>
      <c r="D54" s="107"/>
    </row>
    <row r="55" spans="1:4" ht="21">
      <c r="A55" s="18" t="s">
        <v>208</v>
      </c>
      <c r="B55" s="109"/>
      <c r="C55" s="110"/>
      <c r="D55" s="111"/>
    </row>
    <row r="56" spans="1:4" ht="21">
      <c r="A56" t="s">
        <v>157</v>
      </c>
      <c r="B56" s="109">
        <v>0</v>
      </c>
      <c r="C56" s="110">
        <v>0</v>
      </c>
      <c r="D56" s="142">
        <f>SUM(B56-C56)</f>
        <v>0</v>
      </c>
    </row>
    <row r="57" spans="1:4" ht="21">
      <c r="A57" s="141" t="s">
        <v>209</v>
      </c>
      <c r="B57" s="109"/>
      <c r="C57" s="110"/>
      <c r="D57" s="111"/>
    </row>
    <row r="58" spans="1:4" ht="21">
      <c r="A58" s="18" t="s">
        <v>210</v>
      </c>
      <c r="B58" s="109">
        <v>0</v>
      </c>
      <c r="C58" s="110">
        <v>0</v>
      </c>
      <c r="D58" s="111">
        <f>SUM(B58-C58)</f>
        <v>0</v>
      </c>
    </row>
    <row r="59" spans="1:4" ht="21">
      <c r="A59" t="s">
        <v>155</v>
      </c>
      <c r="B59" s="109">
        <v>0</v>
      </c>
      <c r="C59" s="110">
        <v>0</v>
      </c>
      <c r="D59" s="111">
        <v>0</v>
      </c>
    </row>
    <row r="60" spans="1:4" ht="21">
      <c r="A60" t="s">
        <v>156</v>
      </c>
      <c r="B60" s="109">
        <v>0</v>
      </c>
      <c r="C60" s="110">
        <v>0</v>
      </c>
      <c r="D60" s="111">
        <v>0</v>
      </c>
    </row>
    <row r="61" spans="1:4" ht="21">
      <c r="A61" s="18" t="s">
        <v>258</v>
      </c>
      <c r="B61" s="109">
        <v>0</v>
      </c>
      <c r="C61" s="110">
        <v>0</v>
      </c>
      <c r="D61" s="111">
        <f>SUM(B61-C61)</f>
        <v>0</v>
      </c>
    </row>
    <row r="62" spans="1:4" ht="21">
      <c r="A62" s="18" t="s">
        <v>259</v>
      </c>
      <c r="B62" s="109">
        <v>0</v>
      </c>
      <c r="C62" s="110">
        <v>0</v>
      </c>
      <c r="D62" s="111">
        <f>SUM(B62-C62)</f>
        <v>0</v>
      </c>
    </row>
    <row r="63" spans="2:4" ht="21">
      <c r="B63" s="122">
        <f>SUM(B56:B62)</f>
        <v>0</v>
      </c>
      <c r="C63" s="121">
        <f>SUM(C56:C62)</f>
        <v>0</v>
      </c>
      <c r="D63" s="120">
        <f>SUM(D56:D62)</f>
        <v>0</v>
      </c>
    </row>
    <row r="64" spans="1:4" ht="23.25">
      <c r="A64" s="118"/>
      <c r="B64" s="117"/>
      <c r="C64" s="117"/>
      <c r="D64" s="117"/>
    </row>
    <row r="65" spans="1:4" ht="26.25">
      <c r="A65" s="311" t="s">
        <v>0</v>
      </c>
      <c r="B65" s="311"/>
      <c r="C65" s="311"/>
      <c r="D65" s="311"/>
    </row>
    <row r="66" spans="1:4" ht="26.25">
      <c r="A66" s="311" t="s">
        <v>141</v>
      </c>
      <c r="B66" s="311"/>
      <c r="C66" s="311"/>
      <c r="D66" s="311"/>
    </row>
    <row r="68" spans="1:4" ht="23.25">
      <c r="A68" s="28" t="s">
        <v>153</v>
      </c>
      <c r="B68" s="14" t="s">
        <v>71</v>
      </c>
      <c r="C68" s="14" t="s">
        <v>72</v>
      </c>
      <c r="D68" s="14" t="s">
        <v>73</v>
      </c>
    </row>
    <row r="69" spans="1:4" ht="23.25">
      <c r="A69" s="11" t="s">
        <v>63</v>
      </c>
      <c r="B69" s="47" t="s">
        <v>146</v>
      </c>
      <c r="C69" s="47" t="s">
        <v>146</v>
      </c>
      <c r="D69" s="47" t="s">
        <v>146</v>
      </c>
    </row>
    <row r="70" spans="1:4" ht="23.25">
      <c r="A70" s="11" t="s">
        <v>152</v>
      </c>
      <c r="B70" s="47">
        <v>1490.97</v>
      </c>
      <c r="C70" s="47">
        <v>1490.97</v>
      </c>
      <c r="D70" s="47" t="s">
        <v>146</v>
      </c>
    </row>
    <row r="71" spans="1:4" ht="23.25">
      <c r="A71" s="11" t="s">
        <v>64</v>
      </c>
      <c r="B71" s="47" t="s">
        <v>146</v>
      </c>
      <c r="C71" s="47">
        <v>15075</v>
      </c>
      <c r="D71" s="47">
        <v>179125</v>
      </c>
    </row>
    <row r="72" spans="1:4" ht="23.25">
      <c r="A72" s="155">
        <v>0.05</v>
      </c>
      <c r="B72" s="47">
        <v>4</v>
      </c>
      <c r="C72" s="47">
        <v>0</v>
      </c>
      <c r="D72" s="47">
        <v>1301.85</v>
      </c>
    </row>
    <row r="73" spans="1:4" ht="23.25">
      <c r="A73" s="155">
        <v>0.06</v>
      </c>
      <c r="B73" s="47">
        <v>4.8</v>
      </c>
      <c r="C73" s="47">
        <v>0</v>
      </c>
      <c r="D73" s="47">
        <v>1562.22</v>
      </c>
    </row>
    <row r="74" spans="1:4" ht="23.25">
      <c r="A74" s="11" t="s">
        <v>65</v>
      </c>
      <c r="B74" s="47" t="s">
        <v>146</v>
      </c>
      <c r="C74" s="47" t="s">
        <v>146</v>
      </c>
      <c r="D74" s="47" t="s">
        <v>146</v>
      </c>
    </row>
    <row r="75" spans="1:4" ht="23.25">
      <c r="A75" s="11" t="s">
        <v>142</v>
      </c>
      <c r="B75" s="47" t="s">
        <v>146</v>
      </c>
      <c r="C75" s="47" t="s">
        <v>146</v>
      </c>
      <c r="D75" s="47" t="s">
        <v>146</v>
      </c>
    </row>
    <row r="76" spans="1:4" ht="23.25">
      <c r="A76" s="11" t="s">
        <v>66</v>
      </c>
      <c r="B76" s="204">
        <v>0</v>
      </c>
      <c r="C76" s="47" t="s">
        <v>146</v>
      </c>
      <c r="D76" s="47">
        <v>640609.43</v>
      </c>
    </row>
    <row r="77" spans="1:4" ht="23.25">
      <c r="A77" s="11" t="s">
        <v>67</v>
      </c>
      <c r="B77" s="47" t="s">
        <v>146</v>
      </c>
      <c r="C77" s="47" t="s">
        <v>146</v>
      </c>
      <c r="D77" s="47" t="s">
        <v>146</v>
      </c>
    </row>
    <row r="78" spans="1:4" ht="23.25">
      <c r="A78" s="11" t="s">
        <v>167</v>
      </c>
      <c r="B78" s="47">
        <v>0</v>
      </c>
      <c r="C78" s="47">
        <v>0</v>
      </c>
      <c r="D78" s="47">
        <v>0</v>
      </c>
    </row>
    <row r="79" spans="1:4" ht="23.25">
      <c r="A79" s="11" t="s">
        <v>263</v>
      </c>
      <c r="B79" s="47" t="s">
        <v>146</v>
      </c>
      <c r="C79" s="47" t="s">
        <v>146</v>
      </c>
      <c r="D79" s="47" t="s">
        <v>146</v>
      </c>
    </row>
    <row r="80" spans="1:4" ht="23.25">
      <c r="A80" s="11" t="s">
        <v>262</v>
      </c>
      <c r="B80" s="47">
        <v>0</v>
      </c>
      <c r="C80" s="47" t="s">
        <v>146</v>
      </c>
      <c r="D80" s="47">
        <v>61500</v>
      </c>
    </row>
    <row r="81" spans="1:4" ht="23.25">
      <c r="A81" s="11" t="s">
        <v>68</v>
      </c>
      <c r="B81" s="47">
        <f>SUM(B70:B80)</f>
        <v>1499.77</v>
      </c>
      <c r="C81" s="47">
        <f>SUM(C70:C80)</f>
        <v>16565.97</v>
      </c>
      <c r="D81" s="47">
        <f>SUM(D71:D80)</f>
        <v>884098.5</v>
      </c>
    </row>
    <row r="82" ht="21">
      <c r="B82" s="103"/>
    </row>
    <row r="84" spans="1:2" ht="23.25">
      <c r="A84" s="29" t="s">
        <v>69</v>
      </c>
      <c r="B84" s="15"/>
    </row>
    <row r="85" spans="1:4" ht="21">
      <c r="A85" s="29" t="s">
        <v>70</v>
      </c>
      <c r="B85" s="104" t="s">
        <v>150</v>
      </c>
      <c r="C85" s="4" t="s">
        <v>72</v>
      </c>
      <c r="D85" s="6" t="s">
        <v>73</v>
      </c>
    </row>
    <row r="86" spans="1:4" ht="21">
      <c r="A86" t="s">
        <v>149</v>
      </c>
      <c r="B86" s="105"/>
      <c r="C86" s="108"/>
      <c r="D86" s="107"/>
    </row>
    <row r="87" spans="1:4" ht="21">
      <c r="A87" s="18" t="s">
        <v>208</v>
      </c>
      <c r="B87" s="109"/>
      <c r="C87" s="110"/>
      <c r="D87" s="111"/>
    </row>
    <row r="88" spans="1:4" ht="21">
      <c r="A88" t="s">
        <v>157</v>
      </c>
      <c r="B88" s="109">
        <v>0</v>
      </c>
      <c r="C88" s="110">
        <v>0</v>
      </c>
      <c r="D88" s="142">
        <f>SUM(B88-C88)</f>
        <v>0</v>
      </c>
    </row>
    <row r="89" spans="1:4" ht="21">
      <c r="A89" s="141" t="s">
        <v>209</v>
      </c>
      <c r="B89" s="109"/>
      <c r="C89" s="110"/>
      <c r="D89" s="111"/>
    </row>
    <row r="90" spans="1:4" ht="21">
      <c r="A90" s="18" t="s">
        <v>210</v>
      </c>
      <c r="B90" s="109">
        <v>0</v>
      </c>
      <c r="C90" s="110">
        <v>0</v>
      </c>
      <c r="D90" s="111">
        <f>SUM(B90-C90)</f>
        <v>0</v>
      </c>
    </row>
    <row r="91" spans="1:4" ht="21">
      <c r="A91" t="s">
        <v>155</v>
      </c>
      <c r="B91" s="109">
        <v>0</v>
      </c>
      <c r="C91" s="110">
        <v>0</v>
      </c>
      <c r="D91" s="111">
        <v>0</v>
      </c>
    </row>
    <row r="92" spans="1:4" ht="21">
      <c r="A92" t="s">
        <v>156</v>
      </c>
      <c r="B92" s="109">
        <v>0</v>
      </c>
      <c r="C92" s="110">
        <v>0</v>
      </c>
      <c r="D92" s="111">
        <v>0</v>
      </c>
    </row>
    <row r="93" spans="1:4" ht="21">
      <c r="A93" s="18" t="s">
        <v>258</v>
      </c>
      <c r="B93" s="109">
        <v>0</v>
      </c>
      <c r="C93" s="110">
        <v>0</v>
      </c>
      <c r="D93" s="111">
        <f>SUM(B93-C93)</f>
        <v>0</v>
      </c>
    </row>
    <row r="94" spans="1:4" ht="21">
      <c r="A94" s="18" t="s">
        <v>259</v>
      </c>
      <c r="B94" s="109">
        <v>0</v>
      </c>
      <c r="C94" s="110">
        <v>0</v>
      </c>
      <c r="D94" s="111">
        <f>SUM(B94-C94)</f>
        <v>0</v>
      </c>
    </row>
    <row r="95" spans="2:4" ht="21">
      <c r="B95" s="122">
        <f>SUM(B88:B94)</f>
        <v>0</v>
      </c>
      <c r="C95" s="121">
        <f>SUM(C88:C94)</f>
        <v>0</v>
      </c>
      <c r="D95" s="120">
        <f>SUM(D88:D94)</f>
        <v>0</v>
      </c>
    </row>
    <row r="96" spans="1:4" ht="23.25">
      <c r="A96" s="118"/>
      <c r="B96" s="117"/>
      <c r="C96" s="117"/>
      <c r="D96" s="117"/>
    </row>
    <row r="97" spans="1:4" ht="23.25">
      <c r="A97" s="119"/>
      <c r="B97" s="114"/>
      <c r="C97" s="114"/>
      <c r="D97" s="114"/>
    </row>
    <row r="98" spans="1:4" ht="23.25">
      <c r="A98" s="115"/>
      <c r="B98" s="114"/>
      <c r="C98" s="114"/>
      <c r="D98" s="116"/>
    </row>
    <row r="99" spans="1:4" ht="23.25">
      <c r="A99" s="115"/>
      <c r="B99" s="114"/>
      <c r="C99" s="114"/>
      <c r="D99" s="116"/>
    </row>
    <row r="100" spans="1:4" ht="23.25">
      <c r="A100" s="118"/>
      <c r="B100" s="114"/>
      <c r="C100" s="114"/>
      <c r="D100" s="114"/>
    </row>
    <row r="101" spans="1:4" ht="21">
      <c r="A101" s="113"/>
      <c r="B101" s="112"/>
      <c r="C101" s="112"/>
      <c r="D101" s="112"/>
    </row>
    <row r="102" spans="1:4" ht="21">
      <c r="A102" s="113"/>
      <c r="B102" s="112"/>
      <c r="C102" s="112"/>
      <c r="D102" s="112"/>
    </row>
    <row r="103" spans="1:4" ht="21">
      <c r="A103" s="113"/>
      <c r="B103" s="112"/>
      <c r="C103" s="112"/>
      <c r="D103" s="112"/>
    </row>
    <row r="104" spans="1:4" ht="21">
      <c r="A104" s="113"/>
      <c r="B104" s="112"/>
      <c r="C104" s="112"/>
      <c r="D104" s="112"/>
    </row>
    <row r="105" spans="1:4" ht="21">
      <c r="A105" s="5"/>
      <c r="B105" s="106"/>
      <c r="C105" s="106"/>
      <c r="D105" s="106"/>
    </row>
    <row r="106" spans="1:4" ht="21">
      <c r="A106" s="5"/>
      <c r="B106" s="106"/>
      <c r="C106" s="106"/>
      <c r="D106" s="106"/>
    </row>
    <row r="107" spans="1:4" ht="21">
      <c r="A107" s="5"/>
      <c r="B107" s="106"/>
      <c r="C107" s="106"/>
      <c r="D107" s="106"/>
    </row>
    <row r="108" spans="1:4" ht="21">
      <c r="A108" s="5"/>
      <c r="B108" s="106"/>
      <c r="C108" s="106"/>
      <c r="D108" s="106"/>
    </row>
    <row r="109" spans="1:4" ht="21">
      <c r="A109" s="5"/>
      <c r="B109" s="106"/>
      <c r="C109" s="106"/>
      <c r="D109" s="106"/>
    </row>
    <row r="110" spans="1:4" ht="21">
      <c r="A110" s="5"/>
      <c r="B110" s="106"/>
      <c r="C110" s="106"/>
      <c r="D110" s="106"/>
    </row>
    <row r="111" spans="1:4" ht="21">
      <c r="A111" s="5"/>
      <c r="B111" s="106"/>
      <c r="C111" s="106"/>
      <c r="D111" s="106"/>
    </row>
    <row r="112" spans="1:4" ht="21">
      <c r="A112" s="5"/>
      <c r="B112" s="106"/>
      <c r="C112" s="106"/>
      <c r="D112" s="106"/>
    </row>
    <row r="113" spans="1:4" ht="21">
      <c r="A113" s="5"/>
      <c r="B113" s="106"/>
      <c r="C113" s="106"/>
      <c r="D113" s="106"/>
    </row>
    <row r="114" spans="1:4" ht="21">
      <c r="A114" s="5"/>
      <c r="B114" s="106"/>
      <c r="C114" s="106"/>
      <c r="D114" s="106"/>
    </row>
    <row r="115" spans="1:4" ht="21">
      <c r="A115" s="5"/>
      <c r="B115" s="106"/>
      <c r="C115" s="106"/>
      <c r="D115" s="106"/>
    </row>
    <row r="116" spans="1:4" ht="21">
      <c r="A116" s="5"/>
      <c r="B116" s="106"/>
      <c r="C116" s="106"/>
      <c r="D116" s="106"/>
    </row>
    <row r="117" spans="1:4" ht="21">
      <c r="A117" s="5"/>
      <c r="B117" s="106"/>
      <c r="C117" s="106"/>
      <c r="D117" s="106"/>
    </row>
  </sheetData>
  <sheetProtection/>
  <mergeCells count="6">
    <mergeCell ref="A1:D1"/>
    <mergeCell ref="A2:D2"/>
    <mergeCell ref="A33:D33"/>
    <mergeCell ref="A34:D34"/>
    <mergeCell ref="A65:D65"/>
    <mergeCell ref="A66:D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79"/>
  <sheetViews>
    <sheetView zoomScalePageLayoutView="0" workbookViewId="0" topLeftCell="A166">
      <selection activeCell="A21" sqref="A21:L21"/>
    </sheetView>
  </sheetViews>
  <sheetFormatPr defaultColWidth="9.33203125" defaultRowHeight="21"/>
  <cols>
    <col min="1" max="1" width="8" style="0" customWidth="1"/>
    <col min="2" max="2" width="9.33203125" style="0" hidden="1" customWidth="1"/>
    <col min="3" max="4" width="6.83203125" style="0" customWidth="1"/>
    <col min="12" max="12" width="15.66015625" style="0" customWidth="1"/>
    <col min="16" max="16" width="5.83203125" style="0" customWidth="1"/>
    <col min="19" max="19" width="9.33203125" style="0" hidden="1" customWidth="1"/>
    <col min="22" max="22" width="5.83203125" style="0" customWidth="1"/>
    <col min="24" max="24" width="16.16015625" style="0" customWidth="1"/>
  </cols>
  <sheetData>
    <row r="1" spans="1:24" ht="21" customHeight="1">
      <c r="A1" s="329" t="s">
        <v>0</v>
      </c>
      <c r="B1" s="330"/>
      <c r="C1" s="330"/>
      <c r="D1" s="330"/>
      <c r="E1" s="330"/>
      <c r="F1" s="126"/>
      <c r="G1" s="339" t="s">
        <v>196</v>
      </c>
      <c r="H1" s="340"/>
      <c r="I1" s="340"/>
      <c r="J1" s="340"/>
      <c r="K1" s="340"/>
      <c r="L1" s="341"/>
      <c r="M1" s="368" t="s">
        <v>0</v>
      </c>
      <c r="N1" s="369"/>
      <c r="O1" s="369"/>
      <c r="P1" s="369"/>
      <c r="Q1" s="370"/>
      <c r="R1" s="315" t="s">
        <v>196</v>
      </c>
      <c r="S1" s="316"/>
      <c r="T1" s="316"/>
      <c r="U1" s="316"/>
      <c r="V1" s="316"/>
      <c r="W1" s="316"/>
      <c r="X1" s="317"/>
    </row>
    <row r="2" spans="1:27" ht="21" customHeight="1">
      <c r="A2" s="127"/>
      <c r="B2" s="125"/>
      <c r="C2" s="125"/>
      <c r="D2" s="125"/>
      <c r="E2" s="25"/>
      <c r="F2" s="25"/>
      <c r="G2" s="23"/>
      <c r="H2" s="25"/>
      <c r="I2" s="128"/>
      <c r="J2" s="128"/>
      <c r="K2" s="128"/>
      <c r="L2" s="38"/>
      <c r="M2" s="198"/>
      <c r="N2" s="199"/>
      <c r="O2" s="199"/>
      <c r="P2" s="199"/>
      <c r="Q2" s="145"/>
      <c r="R2" s="17"/>
      <c r="S2" s="17"/>
      <c r="T2" s="17"/>
      <c r="U2" s="26"/>
      <c r="V2" s="26"/>
      <c r="W2" s="26"/>
      <c r="X2" s="158"/>
      <c r="AA2" s="192"/>
    </row>
    <row r="3" spans="1:24" ht="23.25" customHeight="1">
      <c r="A3" s="134"/>
      <c r="B3" s="135"/>
      <c r="C3" s="331" t="s">
        <v>168</v>
      </c>
      <c r="D3" s="332"/>
      <c r="E3" s="332"/>
      <c r="F3" s="332"/>
      <c r="G3" s="336" t="s">
        <v>383</v>
      </c>
      <c r="H3" s="337"/>
      <c r="I3" s="337"/>
      <c r="J3" s="337"/>
      <c r="K3" s="337"/>
      <c r="L3" s="338"/>
      <c r="M3" s="384" t="s">
        <v>168</v>
      </c>
      <c r="N3" s="385"/>
      <c r="O3" s="385"/>
      <c r="P3" s="385"/>
      <c r="Q3" s="386"/>
      <c r="R3" s="318" t="s">
        <v>195</v>
      </c>
      <c r="S3" s="319"/>
      <c r="T3" s="319"/>
      <c r="U3" s="319"/>
      <c r="V3" s="319"/>
      <c r="W3" s="319"/>
      <c r="X3" s="320"/>
    </row>
    <row r="4" spans="1:24" ht="21" customHeight="1">
      <c r="A4" s="347" t="s">
        <v>639</v>
      </c>
      <c r="B4" s="344"/>
      <c r="C4" s="344"/>
      <c r="D4" s="344"/>
      <c r="E4" s="344"/>
      <c r="F4" s="344"/>
      <c r="G4" s="344"/>
      <c r="H4" s="344"/>
      <c r="I4" s="344"/>
      <c r="J4" s="344"/>
      <c r="K4" s="342">
        <v>9991267.26</v>
      </c>
      <c r="L4" s="343"/>
      <c r="M4" s="371" t="s">
        <v>605</v>
      </c>
      <c r="N4" s="372"/>
      <c r="O4" s="372"/>
      <c r="P4" s="372"/>
      <c r="Q4" s="372"/>
      <c r="R4" s="372"/>
      <c r="S4" s="372"/>
      <c r="T4" s="372"/>
      <c r="U4" s="372"/>
      <c r="V4" s="372"/>
      <c r="W4" s="373">
        <v>10309803.61</v>
      </c>
      <c r="X4" s="374"/>
    </row>
    <row r="5" spans="1:24" ht="21" customHeight="1">
      <c r="A5" s="127" t="s">
        <v>169</v>
      </c>
      <c r="B5" s="125"/>
      <c r="C5" s="344" t="s">
        <v>173</v>
      </c>
      <c r="D5" s="344"/>
      <c r="E5" s="344"/>
      <c r="F5" s="344"/>
      <c r="G5" s="344"/>
      <c r="H5" s="344"/>
      <c r="I5" s="344"/>
      <c r="J5" s="344"/>
      <c r="K5" s="312" t="s">
        <v>30</v>
      </c>
      <c r="L5" s="313"/>
      <c r="M5" s="198" t="s">
        <v>169</v>
      </c>
      <c r="N5" s="382" t="s">
        <v>173</v>
      </c>
      <c r="O5" s="382"/>
      <c r="P5" s="382"/>
      <c r="Q5" s="382"/>
      <c r="R5" s="382"/>
      <c r="S5" s="382"/>
      <c r="T5" s="382"/>
      <c r="U5" s="382"/>
      <c r="V5" s="383"/>
      <c r="W5" s="375" t="s">
        <v>30</v>
      </c>
      <c r="X5" s="376"/>
    </row>
    <row r="6" spans="1:24" ht="21" customHeight="1">
      <c r="A6" s="333" t="s">
        <v>170</v>
      </c>
      <c r="B6" s="334"/>
      <c r="C6" s="334"/>
      <c r="D6" s="334"/>
      <c r="E6" s="335" t="s">
        <v>171</v>
      </c>
      <c r="F6" s="335"/>
      <c r="G6" s="335"/>
      <c r="H6" s="335" t="s">
        <v>172</v>
      </c>
      <c r="I6" s="335"/>
      <c r="J6" s="335"/>
      <c r="K6" s="312"/>
      <c r="L6" s="313"/>
      <c r="M6" s="377" t="s">
        <v>170</v>
      </c>
      <c r="N6" s="378"/>
      <c r="O6" s="378"/>
      <c r="P6" s="378"/>
      <c r="Q6" s="379" t="s">
        <v>171</v>
      </c>
      <c r="R6" s="379"/>
      <c r="S6" s="379"/>
      <c r="T6" s="379" t="s">
        <v>172</v>
      </c>
      <c r="U6" s="379"/>
      <c r="V6" s="379"/>
      <c r="W6" s="380"/>
      <c r="X6" s="381"/>
    </row>
    <row r="7" spans="1:27" ht="21" customHeight="1">
      <c r="A7" s="348"/>
      <c r="B7" s="349"/>
      <c r="C7" s="349"/>
      <c r="D7" s="349"/>
      <c r="E7" s="345"/>
      <c r="F7" s="346"/>
      <c r="G7" s="346"/>
      <c r="H7" s="314"/>
      <c r="I7" s="314"/>
      <c r="J7" s="314"/>
      <c r="K7" s="312">
        <v>0</v>
      </c>
      <c r="L7" s="313"/>
      <c r="M7" s="387" t="s">
        <v>187</v>
      </c>
      <c r="N7" s="388"/>
      <c r="O7" s="388"/>
      <c r="P7" s="388"/>
      <c r="Q7" s="389" t="s">
        <v>189</v>
      </c>
      <c r="R7" s="389"/>
      <c r="S7" s="389"/>
      <c r="T7" s="389" t="s">
        <v>190</v>
      </c>
      <c r="U7" s="389"/>
      <c r="V7" s="389"/>
      <c r="W7" s="380" t="s">
        <v>192</v>
      </c>
      <c r="X7" s="381"/>
      <c r="AA7" s="197"/>
    </row>
    <row r="8" spans="1:27" ht="21" customHeight="1">
      <c r="A8" s="222"/>
      <c r="B8" s="220"/>
      <c r="C8" s="220"/>
      <c r="D8" s="220"/>
      <c r="E8" s="221"/>
      <c r="F8" s="128"/>
      <c r="G8" s="128"/>
      <c r="H8" s="223"/>
      <c r="I8" s="128"/>
      <c r="J8" s="128"/>
      <c r="K8" s="216"/>
      <c r="L8" s="217"/>
      <c r="M8" s="218"/>
      <c r="N8" s="219"/>
      <c r="O8" s="219"/>
      <c r="P8" s="219"/>
      <c r="Q8" s="26"/>
      <c r="R8" s="26"/>
      <c r="S8" s="26"/>
      <c r="T8" s="26"/>
      <c r="U8" s="26"/>
      <c r="V8" s="26"/>
      <c r="W8" s="206"/>
      <c r="X8" s="207"/>
      <c r="Z8">
        <v>7535</v>
      </c>
      <c r="AA8" s="5"/>
    </row>
    <row r="9" spans="1:26" ht="21" customHeight="1">
      <c r="A9" s="347" t="s">
        <v>174</v>
      </c>
      <c r="B9" s="344"/>
      <c r="C9" s="344"/>
      <c r="D9" s="344"/>
      <c r="E9" s="344"/>
      <c r="F9" s="344"/>
      <c r="G9" s="344"/>
      <c r="H9" s="344"/>
      <c r="I9" s="344"/>
      <c r="J9" s="344"/>
      <c r="K9" s="312">
        <v>0</v>
      </c>
      <c r="L9" s="313"/>
      <c r="M9" s="390" t="s">
        <v>174</v>
      </c>
      <c r="N9" s="391"/>
      <c r="O9" s="391"/>
      <c r="P9" s="391"/>
      <c r="Q9" s="391"/>
      <c r="R9" s="391"/>
      <c r="S9" s="391"/>
      <c r="T9" s="391"/>
      <c r="U9" s="391"/>
      <c r="V9" s="391"/>
      <c r="W9" s="380"/>
      <c r="X9" s="381"/>
      <c r="Z9">
        <v>2712.6</v>
      </c>
    </row>
    <row r="10" spans="1:26" ht="21" customHeight="1">
      <c r="A10" s="333" t="s">
        <v>175</v>
      </c>
      <c r="B10" s="334"/>
      <c r="C10" s="334"/>
      <c r="D10" s="334"/>
      <c r="E10" s="335" t="s">
        <v>176</v>
      </c>
      <c r="F10" s="335"/>
      <c r="G10" s="335"/>
      <c r="H10" s="335" t="s">
        <v>172</v>
      </c>
      <c r="I10" s="335"/>
      <c r="J10" s="335"/>
      <c r="K10" s="312"/>
      <c r="L10" s="313"/>
      <c r="M10" s="393" t="s">
        <v>175</v>
      </c>
      <c r="N10" s="394"/>
      <c r="O10" s="394"/>
      <c r="P10" s="394"/>
      <c r="Q10" s="395" t="s">
        <v>176</v>
      </c>
      <c r="R10" s="395"/>
      <c r="S10" s="395"/>
      <c r="T10" s="395" t="s">
        <v>172</v>
      </c>
      <c r="U10" s="395"/>
      <c r="V10" s="395"/>
      <c r="W10" s="380"/>
      <c r="X10" s="381"/>
      <c r="Z10">
        <v>1507</v>
      </c>
    </row>
    <row r="11" spans="1:26" ht="21" customHeight="1">
      <c r="A11" s="323" t="s">
        <v>640</v>
      </c>
      <c r="B11" s="324"/>
      <c r="C11" s="324"/>
      <c r="D11" s="324"/>
      <c r="E11" s="325" t="s">
        <v>617</v>
      </c>
      <c r="F11" s="325"/>
      <c r="G11" s="325"/>
      <c r="H11" s="314">
        <v>675</v>
      </c>
      <c r="I11" s="314"/>
      <c r="J11" s="314"/>
      <c r="K11" s="312" t="s">
        <v>198</v>
      </c>
      <c r="L11" s="313"/>
      <c r="M11" s="279"/>
      <c r="N11" s="280"/>
      <c r="O11" s="280"/>
      <c r="P11" s="280"/>
      <c r="Q11" s="281"/>
      <c r="R11" s="281"/>
      <c r="S11" s="281"/>
      <c r="T11" s="281"/>
      <c r="U11" s="281"/>
      <c r="V11" s="281"/>
      <c r="W11" s="206"/>
      <c r="X11" s="207"/>
      <c r="Z11">
        <f>SUM(Z8:Z10)</f>
        <v>11754.6</v>
      </c>
    </row>
    <row r="12" spans="1:24" ht="21" customHeight="1">
      <c r="A12" s="323" t="s">
        <v>619</v>
      </c>
      <c r="B12" s="324"/>
      <c r="C12" s="324"/>
      <c r="D12" s="324"/>
      <c r="E12" s="325" t="s">
        <v>618</v>
      </c>
      <c r="F12" s="325"/>
      <c r="G12" s="325"/>
      <c r="H12" s="314">
        <v>3190</v>
      </c>
      <c r="I12" s="314"/>
      <c r="J12" s="314"/>
      <c r="K12" s="312" t="s">
        <v>327</v>
      </c>
      <c r="L12" s="313"/>
      <c r="M12" s="323"/>
      <c r="N12" s="324"/>
      <c r="O12" s="324"/>
      <c r="P12" s="324"/>
      <c r="Q12" s="325"/>
      <c r="R12" s="325"/>
      <c r="S12" s="325"/>
      <c r="T12" s="314"/>
      <c r="U12" s="314"/>
      <c r="V12" s="314"/>
      <c r="W12" s="380" t="s">
        <v>193</v>
      </c>
      <c r="X12" s="381"/>
    </row>
    <row r="13" spans="1:24" ht="21" customHeight="1">
      <c r="A13" s="323" t="s">
        <v>658</v>
      </c>
      <c r="B13" s="324"/>
      <c r="C13" s="324"/>
      <c r="D13" s="324"/>
      <c r="E13" s="325" t="s">
        <v>659</v>
      </c>
      <c r="F13" s="325"/>
      <c r="G13" s="325"/>
      <c r="H13" s="314">
        <v>600</v>
      </c>
      <c r="I13" s="314"/>
      <c r="J13" s="314"/>
      <c r="K13" s="322" t="s">
        <v>346</v>
      </c>
      <c r="L13" s="313"/>
      <c r="M13" s="208"/>
      <c r="N13" s="209"/>
      <c r="O13" s="209"/>
      <c r="P13" s="209"/>
      <c r="Q13" s="205"/>
      <c r="R13" s="205"/>
      <c r="S13" s="205"/>
      <c r="T13" s="269"/>
      <c r="U13" s="269"/>
      <c r="V13" s="269"/>
      <c r="W13" s="206"/>
      <c r="X13" s="207"/>
    </row>
    <row r="14" spans="1:24" ht="21" customHeight="1">
      <c r="A14" s="323" t="s">
        <v>641</v>
      </c>
      <c r="B14" s="324"/>
      <c r="C14" s="324"/>
      <c r="D14" s="324"/>
      <c r="E14" s="325" t="s">
        <v>642</v>
      </c>
      <c r="F14" s="325"/>
      <c r="G14" s="325"/>
      <c r="H14" s="314">
        <v>1586</v>
      </c>
      <c r="I14" s="314"/>
      <c r="J14" s="314"/>
      <c r="K14" s="312" t="s">
        <v>182</v>
      </c>
      <c r="L14" s="313"/>
      <c r="M14" s="326"/>
      <c r="N14" s="327"/>
      <c r="O14" s="327"/>
      <c r="P14" s="327"/>
      <c r="Q14" s="392"/>
      <c r="R14" s="392"/>
      <c r="S14" s="392"/>
      <c r="T14" s="396"/>
      <c r="U14" s="396"/>
      <c r="V14" s="397"/>
      <c r="W14" s="398" t="s">
        <v>193</v>
      </c>
      <c r="X14" s="381"/>
    </row>
    <row r="15" spans="1:24" ht="21" customHeight="1">
      <c r="A15" s="326" t="s">
        <v>390</v>
      </c>
      <c r="B15" s="327"/>
      <c r="C15" s="327"/>
      <c r="D15" s="327"/>
      <c r="E15" s="325" t="s">
        <v>643</v>
      </c>
      <c r="F15" s="325"/>
      <c r="G15" s="325"/>
      <c r="H15" s="314">
        <v>2971.96</v>
      </c>
      <c r="I15" s="314"/>
      <c r="J15" s="328"/>
      <c r="K15" s="312" t="s">
        <v>182</v>
      </c>
      <c r="L15" s="313"/>
      <c r="M15" s="326"/>
      <c r="N15" s="327"/>
      <c r="O15" s="327"/>
      <c r="P15" s="327"/>
      <c r="Q15" s="392"/>
      <c r="R15" s="392"/>
      <c r="S15" s="392"/>
      <c r="T15" s="396"/>
      <c r="U15" s="396"/>
      <c r="V15" s="397"/>
      <c r="W15" s="398" t="s">
        <v>182</v>
      </c>
      <c r="X15" s="381"/>
    </row>
    <row r="16" spans="1:24" ht="21" customHeight="1">
      <c r="A16" s="323" t="s">
        <v>390</v>
      </c>
      <c r="B16" s="324"/>
      <c r="C16" s="324"/>
      <c r="D16" s="324"/>
      <c r="E16" s="325" t="s">
        <v>644</v>
      </c>
      <c r="F16" s="325"/>
      <c r="G16" s="325"/>
      <c r="H16" s="314">
        <v>1713.83</v>
      </c>
      <c r="I16" s="314"/>
      <c r="J16" s="328"/>
      <c r="K16" s="322" t="s">
        <v>337</v>
      </c>
      <c r="L16" s="313"/>
      <c r="M16" s="326"/>
      <c r="N16" s="327"/>
      <c r="O16" s="327"/>
      <c r="P16" s="327"/>
      <c r="Q16" s="392"/>
      <c r="R16" s="392"/>
      <c r="S16" s="392"/>
      <c r="T16" s="396"/>
      <c r="U16" s="396"/>
      <c r="V16" s="396"/>
      <c r="W16" s="380">
        <v>0</v>
      </c>
      <c r="X16" s="399"/>
    </row>
    <row r="17" spans="1:24" ht="21" customHeight="1">
      <c r="A17" s="323" t="s">
        <v>645</v>
      </c>
      <c r="B17" s="324"/>
      <c r="C17" s="324"/>
      <c r="D17" s="324"/>
      <c r="E17" s="325" t="s">
        <v>646</v>
      </c>
      <c r="F17" s="325"/>
      <c r="G17" s="325"/>
      <c r="H17" s="314">
        <v>35672</v>
      </c>
      <c r="I17" s="314"/>
      <c r="J17" s="314"/>
      <c r="K17" s="312" t="s">
        <v>193</v>
      </c>
      <c r="L17" s="313"/>
      <c r="M17" s="326"/>
      <c r="N17" s="327"/>
      <c r="O17" s="327"/>
      <c r="P17" s="327"/>
      <c r="Q17" s="392"/>
      <c r="R17" s="392"/>
      <c r="S17" s="392"/>
      <c r="T17" s="396"/>
      <c r="U17" s="396"/>
      <c r="V17" s="396"/>
      <c r="W17" s="380" t="s">
        <v>193</v>
      </c>
      <c r="X17" s="381"/>
    </row>
    <row r="18" spans="1:24" ht="21" customHeight="1">
      <c r="A18" s="323" t="s">
        <v>390</v>
      </c>
      <c r="B18" s="324"/>
      <c r="C18" s="324"/>
      <c r="D18" s="324"/>
      <c r="E18" s="325" t="s">
        <v>647</v>
      </c>
      <c r="F18" s="325"/>
      <c r="G18" s="325"/>
      <c r="H18" s="314">
        <v>483.52</v>
      </c>
      <c r="I18" s="314"/>
      <c r="J18" s="314"/>
      <c r="K18" s="312">
        <f>SUM(H11:J18)</f>
        <v>46892.31</v>
      </c>
      <c r="L18" s="313"/>
      <c r="M18" s="326"/>
      <c r="N18" s="327"/>
      <c r="O18" s="327"/>
      <c r="P18" s="327"/>
      <c r="Q18" s="392"/>
      <c r="R18" s="392"/>
      <c r="S18" s="392"/>
      <c r="T18" s="396"/>
      <c r="U18" s="396"/>
      <c r="V18" s="396"/>
      <c r="W18" s="380" t="s">
        <v>193</v>
      </c>
      <c r="X18" s="381"/>
    </row>
    <row r="19" spans="1:24" ht="21" customHeight="1">
      <c r="A19" s="323"/>
      <c r="B19" s="324"/>
      <c r="C19" s="324"/>
      <c r="D19" s="324"/>
      <c r="E19" s="325"/>
      <c r="F19" s="325"/>
      <c r="G19" s="325"/>
      <c r="H19" s="314"/>
      <c r="I19" s="314"/>
      <c r="J19" s="314"/>
      <c r="K19" s="312" t="s">
        <v>182</v>
      </c>
      <c r="L19" s="313"/>
      <c r="M19" s="326"/>
      <c r="N19" s="327"/>
      <c r="O19" s="327"/>
      <c r="P19" s="327"/>
      <c r="Q19" s="392"/>
      <c r="R19" s="392"/>
      <c r="S19" s="392"/>
      <c r="T19" s="396"/>
      <c r="U19" s="396"/>
      <c r="V19" s="396"/>
      <c r="W19" s="380" t="s">
        <v>182</v>
      </c>
      <c r="X19" s="381"/>
    </row>
    <row r="20" spans="1:24" ht="21" customHeight="1">
      <c r="A20" s="323"/>
      <c r="B20" s="324"/>
      <c r="C20" s="324"/>
      <c r="D20" s="324"/>
      <c r="E20" s="325"/>
      <c r="F20" s="325"/>
      <c r="G20" s="325"/>
      <c r="H20" s="314"/>
      <c r="I20" s="314"/>
      <c r="J20" s="314"/>
      <c r="K20" s="312" t="s">
        <v>193</v>
      </c>
      <c r="L20" s="313"/>
      <c r="M20" s="326"/>
      <c r="N20" s="327"/>
      <c r="O20" s="327"/>
      <c r="P20" s="327"/>
      <c r="Q20" s="392"/>
      <c r="R20" s="392"/>
      <c r="S20" s="392"/>
      <c r="T20" s="396"/>
      <c r="U20" s="396"/>
      <c r="V20" s="396"/>
      <c r="W20" s="380" t="s">
        <v>193</v>
      </c>
      <c r="X20" s="381"/>
    </row>
    <row r="21" spans="1:24" ht="21" customHeight="1">
      <c r="A21" s="265"/>
      <c r="B21" s="266"/>
      <c r="C21" s="266"/>
      <c r="D21" s="266"/>
      <c r="E21" s="267"/>
      <c r="F21" s="267"/>
      <c r="G21" s="267"/>
      <c r="H21" s="268"/>
      <c r="I21" s="268"/>
      <c r="J21" s="268"/>
      <c r="K21" s="216"/>
      <c r="L21" s="217"/>
      <c r="M21" s="208"/>
      <c r="N21" s="209"/>
      <c r="O21" s="209"/>
      <c r="P21" s="209"/>
      <c r="Q21" s="205"/>
      <c r="R21" s="205"/>
      <c r="S21" s="205"/>
      <c r="T21" s="269"/>
      <c r="U21" s="269"/>
      <c r="V21" s="269"/>
      <c r="W21" s="206"/>
      <c r="X21" s="207"/>
    </row>
    <row r="22" spans="1:24" ht="21" customHeight="1">
      <c r="A22" s="265"/>
      <c r="B22" s="266"/>
      <c r="C22" s="266"/>
      <c r="D22" s="266"/>
      <c r="E22" s="267"/>
      <c r="F22" s="267"/>
      <c r="G22" s="267"/>
      <c r="H22" s="268"/>
      <c r="I22" s="268"/>
      <c r="J22" s="268"/>
      <c r="K22" s="216"/>
      <c r="L22" s="217"/>
      <c r="M22" s="208"/>
      <c r="N22" s="209"/>
      <c r="O22" s="209"/>
      <c r="P22" s="209"/>
      <c r="Q22" s="205"/>
      <c r="R22" s="205"/>
      <c r="S22" s="205"/>
      <c r="T22" s="269"/>
      <c r="U22" s="269"/>
      <c r="V22" s="269"/>
      <c r="W22" s="206"/>
      <c r="X22" s="207"/>
    </row>
    <row r="23" spans="1:24" ht="21" customHeight="1">
      <c r="A23" s="323"/>
      <c r="B23" s="324"/>
      <c r="C23" s="324"/>
      <c r="D23" s="324"/>
      <c r="E23" s="325"/>
      <c r="F23" s="325"/>
      <c r="G23" s="325"/>
      <c r="H23" s="314"/>
      <c r="I23" s="314"/>
      <c r="J23" s="314"/>
      <c r="K23" s="312"/>
      <c r="L23" s="313"/>
      <c r="M23" s="326"/>
      <c r="N23" s="327"/>
      <c r="O23" s="327"/>
      <c r="P23" s="327"/>
      <c r="Q23" s="392"/>
      <c r="R23" s="392"/>
      <c r="S23" s="392"/>
      <c r="T23" s="396"/>
      <c r="U23" s="396"/>
      <c r="V23" s="396"/>
      <c r="W23" s="380" t="s">
        <v>182</v>
      </c>
      <c r="X23" s="381"/>
    </row>
    <row r="24" spans="1:24" ht="21" customHeight="1">
      <c r="A24" s="323"/>
      <c r="B24" s="324"/>
      <c r="C24" s="324"/>
      <c r="D24" s="324"/>
      <c r="E24" s="325"/>
      <c r="F24" s="325"/>
      <c r="G24" s="325"/>
      <c r="H24" s="314"/>
      <c r="I24" s="314"/>
      <c r="J24" s="314"/>
      <c r="K24" s="312" t="s">
        <v>193</v>
      </c>
      <c r="L24" s="313"/>
      <c r="M24" s="326"/>
      <c r="N24" s="327"/>
      <c r="O24" s="327"/>
      <c r="P24" s="327"/>
      <c r="Q24" s="392"/>
      <c r="R24" s="392"/>
      <c r="S24" s="392"/>
      <c r="T24" s="396"/>
      <c r="U24" s="396"/>
      <c r="V24" s="396"/>
      <c r="W24" s="380" t="s">
        <v>193</v>
      </c>
      <c r="X24" s="381"/>
    </row>
    <row r="25" spans="1:24" ht="21" customHeight="1">
      <c r="A25" s="265"/>
      <c r="B25" s="266"/>
      <c r="C25" s="266"/>
      <c r="D25" s="266"/>
      <c r="E25" s="267"/>
      <c r="F25" s="267"/>
      <c r="G25" s="267"/>
      <c r="H25" s="268"/>
      <c r="I25" s="268"/>
      <c r="J25" s="268"/>
      <c r="K25" s="216"/>
      <c r="L25" s="217"/>
      <c r="M25" s="208"/>
      <c r="N25" s="209" t="s">
        <v>424</v>
      </c>
      <c r="O25" s="209"/>
      <c r="P25" s="209"/>
      <c r="Q25" s="205"/>
      <c r="R25" s="205"/>
      <c r="S25" s="205"/>
      <c r="T25" s="269"/>
      <c r="U25" s="269"/>
      <c r="V25" s="269"/>
      <c r="W25" s="206"/>
      <c r="X25" s="207"/>
    </row>
    <row r="26" spans="1:24" ht="23.25">
      <c r="A26" s="323"/>
      <c r="B26" s="324"/>
      <c r="C26" s="324"/>
      <c r="D26" s="324"/>
      <c r="E26" s="325"/>
      <c r="F26" s="325"/>
      <c r="G26" s="325"/>
      <c r="H26" s="314"/>
      <c r="I26" s="314"/>
      <c r="J26" s="314"/>
      <c r="K26" s="312" t="s">
        <v>194</v>
      </c>
      <c r="L26" s="313"/>
      <c r="M26" s="326"/>
      <c r="N26" s="327"/>
      <c r="O26" s="327"/>
      <c r="P26" s="327"/>
      <c r="Q26" s="392"/>
      <c r="R26" s="392"/>
      <c r="S26" s="392"/>
      <c r="T26" s="396"/>
      <c r="U26" s="396"/>
      <c r="V26" s="396"/>
      <c r="W26" s="380" t="s">
        <v>194</v>
      </c>
      <c r="X26" s="381"/>
    </row>
    <row r="27" spans="1:24" ht="23.25">
      <c r="A27" s="323"/>
      <c r="B27" s="324"/>
      <c r="C27" s="324"/>
      <c r="D27" s="324"/>
      <c r="E27" s="325"/>
      <c r="F27" s="325"/>
      <c r="G27" s="325"/>
      <c r="H27" s="314"/>
      <c r="I27" s="314"/>
      <c r="J27" s="328"/>
      <c r="K27" s="312"/>
      <c r="L27" s="313"/>
      <c r="M27" s="208"/>
      <c r="N27" s="209"/>
      <c r="O27" s="209"/>
      <c r="P27" s="209"/>
      <c r="Q27" s="205"/>
      <c r="R27" s="205"/>
      <c r="S27" s="205"/>
      <c r="T27" s="396"/>
      <c r="U27" s="396"/>
      <c r="V27" s="397"/>
      <c r="W27" s="206"/>
      <c r="X27" s="207"/>
    </row>
    <row r="28" spans="1:24" ht="23.25">
      <c r="A28" s="23"/>
      <c r="B28" s="25"/>
      <c r="C28" s="25" t="s">
        <v>255</v>
      </c>
      <c r="D28" s="25"/>
      <c r="E28" s="25"/>
      <c r="F28" s="25"/>
      <c r="G28" s="25"/>
      <c r="H28" s="314">
        <v>-2240</v>
      </c>
      <c r="I28" s="346"/>
      <c r="J28" s="350"/>
      <c r="K28" s="312">
        <v>2240</v>
      </c>
      <c r="L28" s="313"/>
      <c r="M28" s="189"/>
      <c r="N28" s="404" t="s">
        <v>181</v>
      </c>
      <c r="O28" s="404"/>
      <c r="P28" s="404"/>
      <c r="Q28" s="404"/>
      <c r="R28" s="404"/>
      <c r="S28" s="17"/>
      <c r="T28" s="396">
        <v>-3300</v>
      </c>
      <c r="U28" s="389"/>
      <c r="V28" s="403"/>
      <c r="W28" s="380">
        <v>3300</v>
      </c>
      <c r="X28" s="381"/>
    </row>
    <row r="29" spans="1:24" ht="23.25">
      <c r="A29" s="23" t="s">
        <v>661</v>
      </c>
      <c r="B29" s="25"/>
      <c r="C29" s="25"/>
      <c r="D29" s="25"/>
      <c r="E29" s="25"/>
      <c r="F29" s="25"/>
      <c r="G29" s="25"/>
      <c r="H29" s="25"/>
      <c r="I29" s="25"/>
      <c r="J29" s="25"/>
      <c r="K29" s="312">
        <v>0</v>
      </c>
      <c r="L29" s="313"/>
      <c r="M29" s="200" t="s">
        <v>180</v>
      </c>
      <c r="N29" s="190"/>
      <c r="O29" s="17" t="s">
        <v>609</v>
      </c>
      <c r="P29" s="17"/>
      <c r="Q29" s="17"/>
      <c r="R29" s="17"/>
      <c r="S29" s="17"/>
      <c r="T29" s="17"/>
      <c r="U29" s="17"/>
      <c r="V29" s="17"/>
      <c r="W29" s="380"/>
      <c r="X29" s="381"/>
    </row>
    <row r="30" spans="1:24" ht="23.25">
      <c r="A30" s="136"/>
      <c r="B30" s="25"/>
      <c r="C30" s="25"/>
      <c r="D30" s="25"/>
      <c r="E30" s="25"/>
      <c r="F30" s="25"/>
      <c r="G30" s="25"/>
      <c r="H30" s="25"/>
      <c r="I30" s="25"/>
      <c r="J30" s="25"/>
      <c r="K30" s="216"/>
      <c r="L30" s="217"/>
      <c r="M30" s="200"/>
      <c r="N30" s="190"/>
      <c r="O30" s="17"/>
      <c r="P30" s="17"/>
      <c r="Q30" s="17"/>
      <c r="R30" s="17"/>
      <c r="S30" s="17"/>
      <c r="T30" s="17"/>
      <c r="U30" s="17"/>
      <c r="V30" s="17"/>
      <c r="W30" s="206"/>
      <c r="X30" s="207"/>
    </row>
    <row r="31" spans="1:24" ht="23.25">
      <c r="A31" s="23" t="s">
        <v>648</v>
      </c>
      <c r="B31" s="25"/>
      <c r="C31" s="25"/>
      <c r="D31" s="25"/>
      <c r="E31" s="25"/>
      <c r="F31" s="25"/>
      <c r="G31" s="25"/>
      <c r="H31" s="321"/>
      <c r="I31" s="321"/>
      <c r="J31" s="321"/>
      <c r="K31" s="312">
        <v>9942134.95</v>
      </c>
      <c r="L31" s="313"/>
      <c r="M31" s="149" t="s">
        <v>606</v>
      </c>
      <c r="N31" s="150"/>
      <c r="O31" s="150"/>
      <c r="P31" s="150"/>
      <c r="Q31" s="150"/>
      <c r="R31" s="150"/>
      <c r="S31" s="150"/>
      <c r="T31" s="400"/>
      <c r="U31" s="400"/>
      <c r="V31" s="400"/>
      <c r="W31" s="401">
        <v>10301553.61</v>
      </c>
      <c r="X31" s="402"/>
    </row>
    <row r="32" spans="1:24" ht="23.25">
      <c r="A32" s="137" t="s">
        <v>177</v>
      </c>
      <c r="B32" s="126"/>
      <c r="C32" s="126"/>
      <c r="D32" s="126"/>
      <c r="E32" s="126"/>
      <c r="F32" s="126"/>
      <c r="G32" s="126"/>
      <c r="H32" s="137" t="s">
        <v>178</v>
      </c>
      <c r="I32" s="126"/>
      <c r="J32" s="126"/>
      <c r="K32" s="126"/>
      <c r="L32" s="138"/>
      <c r="M32" s="148" t="s">
        <v>177</v>
      </c>
      <c r="N32" s="143"/>
      <c r="O32" s="143"/>
      <c r="P32" s="143"/>
      <c r="Q32" s="143"/>
      <c r="R32" s="143"/>
      <c r="S32" s="143"/>
      <c r="T32" s="148" t="s">
        <v>178</v>
      </c>
      <c r="U32" s="147"/>
      <c r="V32" s="143"/>
      <c r="W32" s="143"/>
      <c r="X32" s="144"/>
    </row>
    <row r="33" spans="1:24" ht="23.25">
      <c r="A33" s="23"/>
      <c r="B33" s="25"/>
      <c r="C33" s="25"/>
      <c r="D33" s="25"/>
      <c r="E33" s="25"/>
      <c r="F33" s="25"/>
      <c r="G33" s="25"/>
      <c r="H33" s="23"/>
      <c r="I33" s="25"/>
      <c r="J33" s="25"/>
      <c r="K33" s="25"/>
      <c r="L33" s="129"/>
      <c r="M33" s="16"/>
      <c r="N33" s="17"/>
      <c r="O33" s="17"/>
      <c r="P33" s="17"/>
      <c r="Q33" s="17"/>
      <c r="R33" s="17"/>
      <c r="S33" s="17"/>
      <c r="T33" s="16"/>
      <c r="U33" s="17"/>
      <c r="V33" s="17"/>
      <c r="W33" s="17"/>
      <c r="X33" s="145"/>
    </row>
    <row r="34" spans="1:24" ht="23.25">
      <c r="A34" s="23" t="s">
        <v>649</v>
      </c>
      <c r="B34" s="25"/>
      <c r="C34" s="25"/>
      <c r="D34" s="25"/>
      <c r="E34" s="25"/>
      <c r="F34" s="25"/>
      <c r="G34" s="25"/>
      <c r="H34" s="23" t="s">
        <v>650</v>
      </c>
      <c r="I34" s="25"/>
      <c r="J34" s="25"/>
      <c r="K34" s="25"/>
      <c r="L34" s="129"/>
      <c r="M34" s="16" t="s">
        <v>607</v>
      </c>
      <c r="N34" s="17"/>
      <c r="O34" s="17"/>
      <c r="P34" s="17"/>
      <c r="Q34" s="17"/>
      <c r="R34" s="17"/>
      <c r="S34" s="17"/>
      <c r="T34" s="16" t="s">
        <v>608</v>
      </c>
      <c r="U34" s="17"/>
      <c r="V34" s="17"/>
      <c r="W34" s="17"/>
      <c r="X34" s="145"/>
    </row>
    <row r="35" spans="1:24" ht="23.25">
      <c r="A35" s="130" t="s">
        <v>402</v>
      </c>
      <c r="B35" s="131"/>
      <c r="C35" s="131"/>
      <c r="D35" s="131"/>
      <c r="E35" s="131"/>
      <c r="F35" s="131"/>
      <c r="G35" s="131"/>
      <c r="H35" s="130" t="s">
        <v>179</v>
      </c>
      <c r="I35" s="131"/>
      <c r="J35" s="131"/>
      <c r="K35" s="132"/>
      <c r="L35" s="133"/>
      <c r="M35" s="174" t="s">
        <v>401</v>
      </c>
      <c r="N35" s="175"/>
      <c r="O35" s="175"/>
      <c r="P35" s="175"/>
      <c r="Q35" s="175"/>
      <c r="R35" s="175"/>
      <c r="S35" s="175"/>
      <c r="T35" s="174" t="s">
        <v>179</v>
      </c>
      <c r="U35" s="175"/>
      <c r="V35" s="175"/>
      <c r="W35" s="150"/>
      <c r="X35" s="151"/>
    </row>
    <row r="36" spans="1:12" ht="21">
      <c r="A36" s="329" t="s">
        <v>0</v>
      </c>
      <c r="B36" s="330"/>
      <c r="C36" s="330"/>
      <c r="D36" s="330"/>
      <c r="E36" s="330"/>
      <c r="F36" s="126"/>
      <c r="G36" s="339" t="s">
        <v>196</v>
      </c>
      <c r="H36" s="340"/>
      <c r="I36" s="340"/>
      <c r="J36" s="340"/>
      <c r="K36" s="340"/>
      <c r="L36" s="341"/>
    </row>
    <row r="37" spans="1:12" ht="21">
      <c r="A37" s="127"/>
      <c r="B37" s="125"/>
      <c r="C37" s="125"/>
      <c r="D37" s="125"/>
      <c r="E37" s="25"/>
      <c r="F37" s="25"/>
      <c r="G37" s="23"/>
      <c r="H37" s="25"/>
      <c r="I37" s="128"/>
      <c r="J37" s="128"/>
      <c r="K37" s="128"/>
      <c r="L37" s="38"/>
    </row>
    <row r="38" spans="1:12" ht="21">
      <c r="A38" s="134"/>
      <c r="B38" s="135"/>
      <c r="C38" s="331" t="s">
        <v>168</v>
      </c>
      <c r="D38" s="332"/>
      <c r="E38" s="332"/>
      <c r="F38" s="332"/>
      <c r="G38" s="336" t="s">
        <v>384</v>
      </c>
      <c r="H38" s="337"/>
      <c r="I38" s="337"/>
      <c r="J38" s="337"/>
      <c r="K38" s="337"/>
      <c r="L38" s="338"/>
    </row>
    <row r="39" spans="1:12" ht="21">
      <c r="A39" s="347" t="s">
        <v>651</v>
      </c>
      <c r="B39" s="344"/>
      <c r="C39" s="344"/>
      <c r="D39" s="344"/>
      <c r="E39" s="344"/>
      <c r="F39" s="344"/>
      <c r="G39" s="344"/>
      <c r="H39" s="344"/>
      <c r="I39" s="344"/>
      <c r="J39" s="344"/>
      <c r="K39" s="351">
        <v>386100.26</v>
      </c>
      <c r="L39" s="352"/>
    </row>
    <row r="40" spans="1:12" ht="21">
      <c r="A40" s="127"/>
      <c r="B40" s="125"/>
      <c r="C40" s="344" t="s">
        <v>173</v>
      </c>
      <c r="D40" s="344"/>
      <c r="E40" s="344"/>
      <c r="F40" s="344"/>
      <c r="G40" s="344"/>
      <c r="H40" s="344"/>
      <c r="I40" s="344"/>
      <c r="J40" s="344"/>
      <c r="K40" s="312" t="s">
        <v>30</v>
      </c>
      <c r="L40" s="313"/>
    </row>
    <row r="41" spans="1:12" ht="21">
      <c r="A41" s="333" t="s">
        <v>170</v>
      </c>
      <c r="B41" s="334"/>
      <c r="C41" s="334"/>
      <c r="D41" s="334"/>
      <c r="E41" s="335" t="s">
        <v>171</v>
      </c>
      <c r="F41" s="335"/>
      <c r="G41" s="335"/>
      <c r="H41" s="335" t="s">
        <v>172</v>
      </c>
      <c r="I41" s="335"/>
      <c r="J41" s="335"/>
      <c r="K41" s="312"/>
      <c r="L41" s="313"/>
    </row>
    <row r="42" spans="1:12" ht="21">
      <c r="A42" s="353" t="s">
        <v>187</v>
      </c>
      <c r="B42" s="349"/>
      <c r="C42" s="349"/>
      <c r="D42" s="349"/>
      <c r="E42" s="346" t="s">
        <v>188</v>
      </c>
      <c r="F42" s="346"/>
      <c r="G42" s="346"/>
      <c r="H42" s="346" t="s">
        <v>189</v>
      </c>
      <c r="I42" s="346"/>
      <c r="J42" s="346"/>
      <c r="K42" s="354" t="s">
        <v>191</v>
      </c>
      <c r="L42" s="355"/>
    </row>
    <row r="43" spans="1:12" ht="21">
      <c r="A43" s="353" t="s">
        <v>187</v>
      </c>
      <c r="B43" s="349"/>
      <c r="C43" s="349"/>
      <c r="D43" s="349"/>
      <c r="E43" s="346" t="s">
        <v>189</v>
      </c>
      <c r="F43" s="346"/>
      <c r="G43" s="346"/>
      <c r="H43" s="346" t="s">
        <v>190</v>
      </c>
      <c r="I43" s="346"/>
      <c r="J43" s="346"/>
      <c r="K43" s="312" t="s">
        <v>192</v>
      </c>
      <c r="L43" s="313"/>
    </row>
    <row r="44" spans="1:12" ht="21">
      <c r="A44" s="347" t="s">
        <v>174</v>
      </c>
      <c r="B44" s="344"/>
      <c r="C44" s="344"/>
      <c r="D44" s="344"/>
      <c r="E44" s="344"/>
      <c r="F44" s="344"/>
      <c r="G44" s="344"/>
      <c r="H44" s="344"/>
      <c r="I44" s="344"/>
      <c r="J44" s="344"/>
      <c r="K44" s="139"/>
      <c r="L44" s="140"/>
    </row>
    <row r="45" spans="1:12" ht="21">
      <c r="A45" s="333" t="s">
        <v>175</v>
      </c>
      <c r="B45" s="334"/>
      <c r="C45" s="334"/>
      <c r="D45" s="334"/>
      <c r="E45" s="335" t="s">
        <v>176</v>
      </c>
      <c r="F45" s="335"/>
      <c r="G45" s="335"/>
      <c r="H45" s="335" t="s">
        <v>172</v>
      </c>
      <c r="I45" s="335"/>
      <c r="J45" s="335"/>
      <c r="K45" s="139"/>
      <c r="L45" s="140"/>
    </row>
    <row r="46" spans="1:12" ht="21">
      <c r="A46" s="356" t="s">
        <v>197</v>
      </c>
      <c r="B46" s="357"/>
      <c r="C46" s="357"/>
      <c r="D46" s="357"/>
      <c r="E46" s="325" t="s">
        <v>199</v>
      </c>
      <c r="F46" s="325"/>
      <c r="G46" s="325"/>
      <c r="H46" s="325" t="s">
        <v>199</v>
      </c>
      <c r="I46" s="325"/>
      <c r="J46" s="325"/>
      <c r="K46" s="312"/>
      <c r="L46" s="313"/>
    </row>
    <row r="47" spans="1:12" ht="21">
      <c r="A47" s="356" t="s">
        <v>197</v>
      </c>
      <c r="B47" s="357"/>
      <c r="C47" s="357"/>
      <c r="D47" s="357"/>
      <c r="E47" s="325" t="s">
        <v>188</v>
      </c>
      <c r="F47" s="325"/>
      <c r="G47" s="325"/>
      <c r="H47" s="325" t="s">
        <v>188</v>
      </c>
      <c r="I47" s="325"/>
      <c r="J47" s="325"/>
      <c r="K47" s="312" t="s">
        <v>193</v>
      </c>
      <c r="L47" s="313"/>
    </row>
    <row r="48" spans="1:12" ht="21">
      <c r="A48" s="356" t="s">
        <v>187</v>
      </c>
      <c r="B48" s="357"/>
      <c r="C48" s="357"/>
      <c r="D48" s="357"/>
      <c r="E48" s="325" t="s">
        <v>188</v>
      </c>
      <c r="F48" s="325"/>
      <c r="G48" s="325"/>
      <c r="H48" s="325" t="s">
        <v>188</v>
      </c>
      <c r="I48" s="325"/>
      <c r="J48" s="325"/>
      <c r="K48" s="312" t="s">
        <v>193</v>
      </c>
      <c r="L48" s="313"/>
    </row>
    <row r="49" spans="1:12" ht="21">
      <c r="A49" s="356" t="s">
        <v>187</v>
      </c>
      <c r="B49" s="357"/>
      <c r="C49" s="357"/>
      <c r="D49" s="357"/>
      <c r="E49" s="325" t="s">
        <v>199</v>
      </c>
      <c r="F49" s="325"/>
      <c r="G49" s="325"/>
      <c r="H49" s="325" t="s">
        <v>199</v>
      </c>
      <c r="I49" s="325"/>
      <c r="J49" s="325"/>
      <c r="K49" s="312" t="s">
        <v>193</v>
      </c>
      <c r="L49" s="313"/>
    </row>
    <row r="50" spans="1:12" ht="21">
      <c r="A50" s="356" t="s">
        <v>187</v>
      </c>
      <c r="B50" s="357"/>
      <c r="C50" s="357"/>
      <c r="D50" s="357"/>
      <c r="E50" s="325" t="s">
        <v>199</v>
      </c>
      <c r="F50" s="325"/>
      <c r="G50" s="325"/>
      <c r="H50" s="325" t="s">
        <v>199</v>
      </c>
      <c r="I50" s="325"/>
      <c r="J50" s="325"/>
      <c r="K50" s="312" t="s">
        <v>193</v>
      </c>
      <c r="L50" s="313"/>
    </row>
    <row r="51" spans="1:12" ht="21">
      <c r="A51" s="356" t="s">
        <v>197</v>
      </c>
      <c r="B51" s="357"/>
      <c r="C51" s="357"/>
      <c r="D51" s="357"/>
      <c r="E51" s="325" t="s">
        <v>188</v>
      </c>
      <c r="F51" s="325"/>
      <c r="G51" s="325"/>
      <c r="H51" s="325" t="s">
        <v>188</v>
      </c>
      <c r="I51" s="325"/>
      <c r="J51" s="325"/>
      <c r="K51" s="312" t="s">
        <v>193</v>
      </c>
      <c r="L51" s="313"/>
    </row>
    <row r="52" spans="1:12" ht="21">
      <c r="A52" s="356" t="s">
        <v>197</v>
      </c>
      <c r="B52" s="357"/>
      <c r="C52" s="357"/>
      <c r="D52" s="357"/>
      <c r="E52" s="325" t="s">
        <v>188</v>
      </c>
      <c r="F52" s="325"/>
      <c r="G52" s="325"/>
      <c r="H52" s="325" t="s">
        <v>188</v>
      </c>
      <c r="I52" s="325"/>
      <c r="J52" s="325"/>
      <c r="K52" s="312" t="s">
        <v>194</v>
      </c>
      <c r="L52" s="313"/>
    </row>
    <row r="53" spans="1:12" ht="21">
      <c r="A53" s="356" t="s">
        <v>187</v>
      </c>
      <c r="B53" s="357"/>
      <c r="C53" s="357"/>
      <c r="D53" s="357"/>
      <c r="E53" s="325" t="s">
        <v>199</v>
      </c>
      <c r="F53" s="325"/>
      <c r="G53" s="325"/>
      <c r="H53" s="325" t="s">
        <v>199</v>
      </c>
      <c r="I53" s="325"/>
      <c r="J53" s="325"/>
      <c r="K53" s="312" t="s">
        <v>194</v>
      </c>
      <c r="L53" s="313"/>
    </row>
    <row r="54" spans="1:12" ht="21">
      <c r="A54" s="356" t="s">
        <v>187</v>
      </c>
      <c r="B54" s="357"/>
      <c r="C54" s="357"/>
      <c r="D54" s="357"/>
      <c r="E54" s="325" t="s">
        <v>199</v>
      </c>
      <c r="F54" s="325"/>
      <c r="G54" s="325"/>
      <c r="H54" s="325" t="s">
        <v>199</v>
      </c>
      <c r="I54" s="325"/>
      <c r="J54" s="325"/>
      <c r="K54" s="312" t="s">
        <v>193</v>
      </c>
      <c r="L54" s="313"/>
    </row>
    <row r="55" spans="1:12" ht="21">
      <c r="A55" s="356" t="s">
        <v>187</v>
      </c>
      <c r="B55" s="357"/>
      <c r="C55" s="357"/>
      <c r="D55" s="357"/>
      <c r="E55" s="325" t="s">
        <v>188</v>
      </c>
      <c r="F55" s="325"/>
      <c r="G55" s="325"/>
      <c r="H55" s="325" t="s">
        <v>188</v>
      </c>
      <c r="I55" s="325"/>
      <c r="J55" s="325"/>
      <c r="K55" s="312" t="s">
        <v>193</v>
      </c>
      <c r="L55" s="313"/>
    </row>
    <row r="56" spans="1:12" ht="21">
      <c r="A56" s="356" t="s">
        <v>197</v>
      </c>
      <c r="B56" s="357"/>
      <c r="C56" s="357"/>
      <c r="D56" s="357"/>
      <c r="E56" s="325" t="s">
        <v>188</v>
      </c>
      <c r="F56" s="325"/>
      <c r="G56" s="325"/>
      <c r="H56" s="325" t="s">
        <v>188</v>
      </c>
      <c r="I56" s="325"/>
      <c r="J56" s="325"/>
      <c r="K56" s="312" t="s">
        <v>182</v>
      </c>
      <c r="L56" s="313"/>
    </row>
    <row r="57" spans="1:12" ht="21">
      <c r="A57" s="356" t="s">
        <v>197</v>
      </c>
      <c r="B57" s="357"/>
      <c r="C57" s="357"/>
      <c r="D57" s="357"/>
      <c r="E57" s="325" t="s">
        <v>199</v>
      </c>
      <c r="F57" s="325"/>
      <c r="G57" s="325"/>
      <c r="H57" s="325" t="s">
        <v>199</v>
      </c>
      <c r="I57" s="325"/>
      <c r="J57" s="325"/>
      <c r="K57" s="312" t="s">
        <v>193</v>
      </c>
      <c r="L57" s="313"/>
    </row>
    <row r="58" spans="1:12" ht="21">
      <c r="A58" s="356" t="s">
        <v>187</v>
      </c>
      <c r="B58" s="357"/>
      <c r="C58" s="357"/>
      <c r="D58" s="357"/>
      <c r="E58" s="325" t="s">
        <v>199</v>
      </c>
      <c r="F58" s="325"/>
      <c r="G58" s="325"/>
      <c r="H58" s="325" t="s">
        <v>199</v>
      </c>
      <c r="I58" s="325"/>
      <c r="J58" s="325"/>
      <c r="K58" s="312" t="s">
        <v>193</v>
      </c>
      <c r="L58" s="313"/>
    </row>
    <row r="59" spans="1:12" ht="21">
      <c r="A59" s="356" t="s">
        <v>187</v>
      </c>
      <c r="B59" s="357"/>
      <c r="C59" s="357"/>
      <c r="D59" s="357"/>
      <c r="E59" s="325" t="s">
        <v>188</v>
      </c>
      <c r="F59" s="325"/>
      <c r="G59" s="325"/>
      <c r="H59" s="325" t="s">
        <v>188</v>
      </c>
      <c r="I59" s="325"/>
      <c r="J59" s="325"/>
      <c r="K59" s="312" t="s">
        <v>182</v>
      </c>
      <c r="L59" s="313"/>
    </row>
    <row r="60" spans="1:12" ht="21">
      <c r="A60" s="356" t="s">
        <v>187</v>
      </c>
      <c r="B60" s="357"/>
      <c r="C60" s="357"/>
      <c r="D60" s="357"/>
      <c r="E60" s="325" t="s">
        <v>188</v>
      </c>
      <c r="F60" s="325"/>
      <c r="G60" s="325"/>
      <c r="H60" s="325" t="s">
        <v>188</v>
      </c>
      <c r="I60" s="325"/>
      <c r="J60" s="325"/>
      <c r="K60" s="312" t="s">
        <v>193</v>
      </c>
      <c r="L60" s="313"/>
    </row>
    <row r="61" spans="1:12" ht="21">
      <c r="A61" s="358" t="s">
        <v>198</v>
      </c>
      <c r="B61" s="359"/>
      <c r="C61" s="359"/>
      <c r="D61" s="359"/>
      <c r="E61" s="325" t="s">
        <v>199</v>
      </c>
      <c r="F61" s="325"/>
      <c r="G61" s="325"/>
      <c r="H61" s="325" t="s">
        <v>199</v>
      </c>
      <c r="I61" s="325"/>
      <c r="J61" s="325"/>
      <c r="K61" s="312" t="s">
        <v>194</v>
      </c>
      <c r="L61" s="313"/>
    </row>
    <row r="62" spans="1:12" ht="21">
      <c r="A62" s="358" t="s">
        <v>198</v>
      </c>
      <c r="B62" s="359"/>
      <c r="C62" s="359"/>
      <c r="D62" s="359"/>
      <c r="E62" s="325" t="s">
        <v>200</v>
      </c>
      <c r="F62" s="325"/>
      <c r="G62" s="325"/>
      <c r="H62" s="325" t="s">
        <v>200</v>
      </c>
      <c r="I62" s="325"/>
      <c r="J62" s="325"/>
      <c r="K62" s="360" t="s">
        <v>201</v>
      </c>
      <c r="L62" s="361"/>
    </row>
    <row r="63" spans="1:12" ht="21">
      <c r="A63" s="23"/>
      <c r="B63" s="25"/>
      <c r="C63" s="25" t="s">
        <v>181</v>
      </c>
      <c r="D63" s="25"/>
      <c r="E63" s="25"/>
      <c r="F63" s="25"/>
      <c r="G63" s="25"/>
      <c r="H63" s="25"/>
      <c r="I63" s="25"/>
      <c r="J63" s="25"/>
      <c r="K63" s="360"/>
      <c r="L63" s="361"/>
    </row>
    <row r="64" spans="1:12" ht="21">
      <c r="A64" s="136" t="s">
        <v>180</v>
      </c>
      <c r="B64" s="25"/>
      <c r="C64" s="25"/>
      <c r="D64" s="25"/>
      <c r="E64" s="25"/>
      <c r="F64" s="25"/>
      <c r="G64" s="25"/>
      <c r="H64" s="25"/>
      <c r="I64" s="25"/>
      <c r="J64" s="25"/>
      <c r="K64" s="360"/>
      <c r="L64" s="361"/>
    </row>
    <row r="65" spans="1:12" ht="21">
      <c r="A65" s="364" t="s">
        <v>183</v>
      </c>
      <c r="B65" s="321"/>
      <c r="C65" s="321"/>
      <c r="D65" s="321"/>
      <c r="E65" s="321" t="s">
        <v>184</v>
      </c>
      <c r="F65" s="321"/>
      <c r="G65" s="321"/>
      <c r="H65" s="321" t="s">
        <v>185</v>
      </c>
      <c r="I65" s="321"/>
      <c r="J65" s="321"/>
      <c r="K65" s="360" t="s">
        <v>202</v>
      </c>
      <c r="L65" s="361"/>
    </row>
    <row r="66" spans="1:12" ht="21">
      <c r="A66" s="364" t="s">
        <v>186</v>
      </c>
      <c r="B66" s="321"/>
      <c r="C66" s="321"/>
      <c r="D66" s="321"/>
      <c r="E66" s="321" t="s">
        <v>185</v>
      </c>
      <c r="F66" s="321"/>
      <c r="G66" s="321"/>
      <c r="H66" s="321" t="s">
        <v>185</v>
      </c>
      <c r="I66" s="321"/>
      <c r="J66" s="321"/>
      <c r="K66" s="360" t="s">
        <v>202</v>
      </c>
      <c r="L66" s="361"/>
    </row>
    <row r="67" spans="1:12" ht="21">
      <c r="A67" s="23" t="s">
        <v>648</v>
      </c>
      <c r="B67" s="25"/>
      <c r="C67" s="25"/>
      <c r="D67" s="25"/>
      <c r="E67" s="25"/>
      <c r="F67" s="25"/>
      <c r="G67" s="25"/>
      <c r="H67" s="321"/>
      <c r="I67" s="321"/>
      <c r="J67" s="321"/>
      <c r="K67" s="362">
        <f>SUM(K39-K46)</f>
        <v>386100.26</v>
      </c>
      <c r="L67" s="363"/>
    </row>
    <row r="68" spans="1:12" ht="21">
      <c r="A68" s="137" t="s">
        <v>177</v>
      </c>
      <c r="B68" s="126"/>
      <c r="C68" s="126"/>
      <c r="D68" s="126"/>
      <c r="E68" s="126"/>
      <c r="F68" s="126"/>
      <c r="G68" s="126"/>
      <c r="H68" s="137" t="s">
        <v>178</v>
      </c>
      <c r="I68" s="126"/>
      <c r="J68" s="126"/>
      <c r="K68" s="126"/>
      <c r="L68" s="138"/>
    </row>
    <row r="69" spans="1:12" ht="21">
      <c r="A69" s="23"/>
      <c r="B69" s="25"/>
      <c r="C69" s="25"/>
      <c r="D69" s="25"/>
      <c r="E69" s="25"/>
      <c r="F69" s="25"/>
      <c r="G69" s="25"/>
      <c r="H69" s="23"/>
      <c r="I69" s="25"/>
      <c r="J69" s="25"/>
      <c r="K69" s="25"/>
      <c r="L69" s="129"/>
    </row>
    <row r="70" spans="1:12" ht="21">
      <c r="A70" s="23" t="s">
        <v>652</v>
      </c>
      <c r="B70" s="25"/>
      <c r="C70" s="25"/>
      <c r="D70" s="25"/>
      <c r="E70" s="25"/>
      <c r="F70" s="25"/>
      <c r="G70" s="25"/>
      <c r="H70" s="23" t="s">
        <v>653</v>
      </c>
      <c r="I70" s="25"/>
      <c r="J70" s="25"/>
      <c r="K70" s="25"/>
      <c r="L70" s="129"/>
    </row>
    <row r="71" spans="1:12" ht="21">
      <c r="A71" s="130" t="s">
        <v>401</v>
      </c>
      <c r="B71" s="131"/>
      <c r="C71" s="131"/>
      <c r="D71" s="131"/>
      <c r="E71" s="131"/>
      <c r="F71" s="131"/>
      <c r="G71" s="131"/>
      <c r="H71" s="130" t="s">
        <v>179</v>
      </c>
      <c r="I71" s="131"/>
      <c r="J71" s="131"/>
      <c r="K71" s="132"/>
      <c r="L71" s="133"/>
    </row>
    <row r="72" spans="1:12" ht="21">
      <c r="A72" s="329" t="s">
        <v>0</v>
      </c>
      <c r="B72" s="330"/>
      <c r="C72" s="330"/>
      <c r="D72" s="330"/>
      <c r="E72" s="330"/>
      <c r="F72" s="126"/>
      <c r="G72" s="339" t="s">
        <v>203</v>
      </c>
      <c r="H72" s="340"/>
      <c r="I72" s="340"/>
      <c r="J72" s="340"/>
      <c r="K72" s="340"/>
      <c r="L72" s="341"/>
    </row>
    <row r="73" spans="1:12" ht="21">
      <c r="A73" s="127"/>
      <c r="B73" s="125"/>
      <c r="C73" s="125"/>
      <c r="D73" s="125"/>
      <c r="E73" s="25"/>
      <c r="F73" s="25"/>
      <c r="G73" s="365" t="s">
        <v>204</v>
      </c>
      <c r="H73" s="366"/>
      <c r="I73" s="366"/>
      <c r="J73" s="366"/>
      <c r="K73" s="366"/>
      <c r="L73" s="367"/>
    </row>
    <row r="74" spans="1:12" ht="21">
      <c r="A74" s="134"/>
      <c r="B74" s="135"/>
      <c r="C74" s="331" t="s">
        <v>168</v>
      </c>
      <c r="D74" s="332"/>
      <c r="E74" s="332"/>
      <c r="F74" s="332"/>
      <c r="G74" s="336"/>
      <c r="H74" s="337"/>
      <c r="I74" s="337"/>
      <c r="J74" s="337"/>
      <c r="K74" s="337"/>
      <c r="L74" s="338"/>
    </row>
    <row r="75" spans="1:12" ht="21">
      <c r="A75" s="347" t="s">
        <v>654</v>
      </c>
      <c r="B75" s="344"/>
      <c r="C75" s="344"/>
      <c r="D75" s="344"/>
      <c r="E75" s="344"/>
      <c r="F75" s="344"/>
      <c r="G75" s="344"/>
      <c r="H75" s="344"/>
      <c r="I75" s="344"/>
      <c r="J75" s="344"/>
      <c r="K75" s="351">
        <v>9594.72</v>
      </c>
      <c r="L75" s="352"/>
    </row>
    <row r="76" spans="1:12" ht="21">
      <c r="A76" s="127" t="s">
        <v>169</v>
      </c>
      <c r="B76" s="125"/>
      <c r="C76" s="344" t="s">
        <v>173</v>
      </c>
      <c r="D76" s="344"/>
      <c r="E76" s="344"/>
      <c r="F76" s="344"/>
      <c r="G76" s="344"/>
      <c r="H76" s="344"/>
      <c r="I76" s="344"/>
      <c r="J76" s="344"/>
      <c r="K76" s="312" t="s">
        <v>30</v>
      </c>
      <c r="L76" s="313"/>
    </row>
    <row r="77" spans="1:12" ht="21">
      <c r="A77" s="333" t="s">
        <v>170</v>
      </c>
      <c r="B77" s="334"/>
      <c r="C77" s="334"/>
      <c r="D77" s="334"/>
      <c r="E77" s="335" t="s">
        <v>171</v>
      </c>
      <c r="F77" s="335"/>
      <c r="G77" s="335"/>
      <c r="H77" s="335" t="s">
        <v>172</v>
      </c>
      <c r="I77" s="335"/>
      <c r="J77" s="335"/>
      <c r="K77" s="312"/>
      <c r="L77" s="313"/>
    </row>
    <row r="78" spans="1:12" ht="21">
      <c r="A78" s="348"/>
      <c r="B78" s="349"/>
      <c r="C78" s="349"/>
      <c r="D78" s="349"/>
      <c r="E78" s="345"/>
      <c r="F78" s="346"/>
      <c r="G78" s="346"/>
      <c r="H78" s="322"/>
      <c r="I78" s="322"/>
      <c r="J78" s="322"/>
      <c r="K78" s="354">
        <f>SUM(H78)</f>
        <v>0</v>
      </c>
      <c r="L78" s="355"/>
    </row>
    <row r="79" spans="1:12" ht="21">
      <c r="A79" s="353" t="s">
        <v>187</v>
      </c>
      <c r="B79" s="349"/>
      <c r="C79" s="349"/>
      <c r="D79" s="349"/>
      <c r="E79" s="346" t="s">
        <v>189</v>
      </c>
      <c r="F79" s="346"/>
      <c r="G79" s="346"/>
      <c r="H79" s="346" t="s">
        <v>190</v>
      </c>
      <c r="I79" s="346"/>
      <c r="J79" s="346"/>
      <c r="K79" s="312" t="s">
        <v>192</v>
      </c>
      <c r="L79" s="313"/>
    </row>
    <row r="80" spans="1:12" ht="21">
      <c r="A80" s="347" t="s">
        <v>174</v>
      </c>
      <c r="B80" s="344"/>
      <c r="C80" s="344"/>
      <c r="D80" s="344"/>
      <c r="E80" s="344"/>
      <c r="F80" s="344"/>
      <c r="G80" s="344"/>
      <c r="H80" s="344"/>
      <c r="I80" s="344"/>
      <c r="J80" s="344"/>
      <c r="K80" s="139"/>
      <c r="L80" s="140"/>
    </row>
    <row r="81" spans="1:12" ht="21">
      <c r="A81" s="333" t="s">
        <v>175</v>
      </c>
      <c r="B81" s="334"/>
      <c r="C81" s="334"/>
      <c r="D81" s="334"/>
      <c r="E81" s="335" t="s">
        <v>176</v>
      </c>
      <c r="F81" s="335"/>
      <c r="G81" s="335"/>
      <c r="H81" s="335" t="s">
        <v>172</v>
      </c>
      <c r="I81" s="335"/>
      <c r="J81" s="335"/>
      <c r="K81" s="139"/>
      <c r="L81" s="140"/>
    </row>
    <row r="82" spans="1:12" ht="21">
      <c r="A82" s="356"/>
      <c r="B82" s="357"/>
      <c r="C82" s="357"/>
      <c r="D82" s="357"/>
      <c r="E82" s="325"/>
      <c r="F82" s="325"/>
      <c r="G82" s="325"/>
      <c r="H82" s="322"/>
      <c r="I82" s="322"/>
      <c r="J82" s="322"/>
      <c r="K82" s="312">
        <f>SUM(H82)</f>
        <v>0</v>
      </c>
      <c r="L82" s="313"/>
    </row>
    <row r="83" spans="1:12" ht="21">
      <c r="A83" s="356" t="s">
        <v>197</v>
      </c>
      <c r="B83" s="357"/>
      <c r="C83" s="357"/>
      <c r="D83" s="357"/>
      <c r="E83" s="325" t="s">
        <v>188</v>
      </c>
      <c r="F83" s="325"/>
      <c r="G83" s="325"/>
      <c r="H83" s="325" t="s">
        <v>188</v>
      </c>
      <c r="I83" s="325"/>
      <c r="J83" s="325"/>
      <c r="K83" s="312" t="s">
        <v>193</v>
      </c>
      <c r="L83" s="313"/>
    </row>
    <row r="84" spans="1:12" ht="21">
      <c r="A84" s="356" t="s">
        <v>187</v>
      </c>
      <c r="B84" s="357"/>
      <c r="C84" s="357"/>
      <c r="D84" s="357"/>
      <c r="E84" s="325" t="s">
        <v>188</v>
      </c>
      <c r="F84" s="325"/>
      <c r="G84" s="325"/>
      <c r="H84" s="325" t="s">
        <v>188</v>
      </c>
      <c r="I84" s="325"/>
      <c r="J84" s="325"/>
      <c r="K84" s="312" t="s">
        <v>193</v>
      </c>
      <c r="L84" s="313"/>
    </row>
    <row r="85" spans="1:12" ht="21">
      <c r="A85" s="356" t="s">
        <v>187</v>
      </c>
      <c r="B85" s="357"/>
      <c r="C85" s="357"/>
      <c r="D85" s="357"/>
      <c r="E85" s="325" t="s">
        <v>199</v>
      </c>
      <c r="F85" s="325"/>
      <c r="G85" s="325"/>
      <c r="H85" s="325" t="s">
        <v>199</v>
      </c>
      <c r="I85" s="325"/>
      <c r="J85" s="325"/>
      <c r="K85" s="312" t="s">
        <v>193</v>
      </c>
      <c r="L85" s="313"/>
    </row>
    <row r="86" spans="1:12" ht="21">
      <c r="A86" s="356" t="s">
        <v>187</v>
      </c>
      <c r="B86" s="357"/>
      <c r="C86" s="357"/>
      <c r="D86" s="357"/>
      <c r="E86" s="325" t="s">
        <v>199</v>
      </c>
      <c r="F86" s="325"/>
      <c r="G86" s="325"/>
      <c r="H86" s="325" t="s">
        <v>199</v>
      </c>
      <c r="I86" s="325"/>
      <c r="J86" s="325"/>
      <c r="K86" s="312" t="s">
        <v>193</v>
      </c>
      <c r="L86" s="313"/>
    </row>
    <row r="87" spans="1:12" ht="21">
      <c r="A87" s="356" t="s">
        <v>197</v>
      </c>
      <c r="B87" s="357"/>
      <c r="C87" s="357"/>
      <c r="D87" s="357"/>
      <c r="E87" s="325" t="s">
        <v>188</v>
      </c>
      <c r="F87" s="325"/>
      <c r="G87" s="325"/>
      <c r="H87" s="325" t="s">
        <v>188</v>
      </c>
      <c r="I87" s="325"/>
      <c r="J87" s="325"/>
      <c r="K87" s="312" t="s">
        <v>193</v>
      </c>
      <c r="L87" s="313"/>
    </row>
    <row r="88" spans="1:12" ht="21">
      <c r="A88" s="356" t="s">
        <v>197</v>
      </c>
      <c r="B88" s="357"/>
      <c r="C88" s="357"/>
      <c r="D88" s="357"/>
      <c r="E88" s="325" t="s">
        <v>188</v>
      </c>
      <c r="F88" s="325"/>
      <c r="G88" s="325"/>
      <c r="H88" s="325" t="s">
        <v>188</v>
      </c>
      <c r="I88" s="325"/>
      <c r="J88" s="325"/>
      <c r="K88" s="312" t="s">
        <v>194</v>
      </c>
      <c r="L88" s="313"/>
    </row>
    <row r="89" spans="1:12" ht="21">
      <c r="A89" s="356" t="s">
        <v>187</v>
      </c>
      <c r="B89" s="357"/>
      <c r="C89" s="357"/>
      <c r="D89" s="357"/>
      <c r="E89" s="325" t="s">
        <v>199</v>
      </c>
      <c r="F89" s="325"/>
      <c r="G89" s="325"/>
      <c r="H89" s="325" t="s">
        <v>199</v>
      </c>
      <c r="I89" s="325"/>
      <c r="J89" s="325"/>
      <c r="K89" s="312" t="s">
        <v>194</v>
      </c>
      <c r="L89" s="313"/>
    </row>
    <row r="90" spans="1:12" ht="21">
      <c r="A90" s="356" t="s">
        <v>187</v>
      </c>
      <c r="B90" s="357"/>
      <c r="C90" s="357"/>
      <c r="D90" s="357"/>
      <c r="E90" s="325" t="s">
        <v>199</v>
      </c>
      <c r="F90" s="325"/>
      <c r="G90" s="325"/>
      <c r="H90" s="325" t="s">
        <v>199</v>
      </c>
      <c r="I90" s="325"/>
      <c r="J90" s="325"/>
      <c r="K90" s="312" t="s">
        <v>193</v>
      </c>
      <c r="L90" s="313"/>
    </row>
    <row r="91" spans="1:12" ht="21">
      <c r="A91" s="356" t="s">
        <v>187</v>
      </c>
      <c r="B91" s="357"/>
      <c r="C91" s="357"/>
      <c r="D91" s="357"/>
      <c r="E91" s="325" t="s">
        <v>188</v>
      </c>
      <c r="F91" s="325"/>
      <c r="G91" s="325"/>
      <c r="H91" s="325" t="s">
        <v>188</v>
      </c>
      <c r="I91" s="325"/>
      <c r="J91" s="325"/>
      <c r="K91" s="312" t="s">
        <v>193</v>
      </c>
      <c r="L91" s="313"/>
    </row>
    <row r="92" spans="1:12" ht="21">
      <c r="A92" s="356" t="s">
        <v>197</v>
      </c>
      <c r="B92" s="357"/>
      <c r="C92" s="357"/>
      <c r="D92" s="357"/>
      <c r="E92" s="325" t="s">
        <v>188</v>
      </c>
      <c r="F92" s="325"/>
      <c r="G92" s="325"/>
      <c r="H92" s="325" t="s">
        <v>188</v>
      </c>
      <c r="I92" s="325"/>
      <c r="J92" s="325"/>
      <c r="K92" s="312" t="s">
        <v>182</v>
      </c>
      <c r="L92" s="313"/>
    </row>
    <row r="93" spans="1:12" ht="21">
      <c r="A93" s="356" t="s">
        <v>197</v>
      </c>
      <c r="B93" s="357"/>
      <c r="C93" s="357"/>
      <c r="D93" s="357"/>
      <c r="E93" s="325" t="s">
        <v>199</v>
      </c>
      <c r="F93" s="325"/>
      <c r="G93" s="325"/>
      <c r="H93" s="325" t="s">
        <v>199</v>
      </c>
      <c r="I93" s="325"/>
      <c r="J93" s="325"/>
      <c r="K93" s="312" t="s">
        <v>193</v>
      </c>
      <c r="L93" s="313"/>
    </row>
    <row r="94" spans="1:12" ht="21">
      <c r="A94" s="356" t="s">
        <v>187</v>
      </c>
      <c r="B94" s="357"/>
      <c r="C94" s="357"/>
      <c r="D94" s="357"/>
      <c r="E94" s="325" t="s">
        <v>199</v>
      </c>
      <c r="F94" s="325"/>
      <c r="G94" s="325"/>
      <c r="H94" s="325" t="s">
        <v>199</v>
      </c>
      <c r="I94" s="325"/>
      <c r="J94" s="325"/>
      <c r="K94" s="312" t="s">
        <v>193</v>
      </c>
      <c r="L94" s="313"/>
    </row>
    <row r="95" spans="1:12" ht="21">
      <c r="A95" s="356" t="s">
        <v>187</v>
      </c>
      <c r="B95" s="357"/>
      <c r="C95" s="357"/>
      <c r="D95" s="357"/>
      <c r="E95" s="325" t="s">
        <v>188</v>
      </c>
      <c r="F95" s="325"/>
      <c r="G95" s="325"/>
      <c r="H95" s="325" t="s">
        <v>188</v>
      </c>
      <c r="I95" s="325"/>
      <c r="J95" s="325"/>
      <c r="K95" s="312" t="s">
        <v>182</v>
      </c>
      <c r="L95" s="313"/>
    </row>
    <row r="96" spans="1:12" ht="21">
      <c r="A96" s="356" t="s">
        <v>187</v>
      </c>
      <c r="B96" s="357"/>
      <c r="C96" s="357"/>
      <c r="D96" s="357"/>
      <c r="E96" s="325" t="s">
        <v>188</v>
      </c>
      <c r="F96" s="325"/>
      <c r="G96" s="325"/>
      <c r="H96" s="325" t="s">
        <v>188</v>
      </c>
      <c r="I96" s="325"/>
      <c r="J96" s="325"/>
      <c r="K96" s="312" t="s">
        <v>193</v>
      </c>
      <c r="L96" s="313"/>
    </row>
    <row r="97" spans="1:12" ht="21">
      <c r="A97" s="358" t="s">
        <v>198</v>
      </c>
      <c r="B97" s="359"/>
      <c r="C97" s="359"/>
      <c r="D97" s="359"/>
      <c r="E97" s="325" t="s">
        <v>199</v>
      </c>
      <c r="F97" s="325"/>
      <c r="G97" s="325"/>
      <c r="H97" s="325" t="s">
        <v>199</v>
      </c>
      <c r="I97" s="325"/>
      <c r="J97" s="325"/>
      <c r="K97" s="312" t="s">
        <v>194</v>
      </c>
      <c r="L97" s="313"/>
    </row>
    <row r="98" spans="1:12" ht="21">
      <c r="A98" s="358" t="s">
        <v>198</v>
      </c>
      <c r="B98" s="359"/>
      <c r="C98" s="359"/>
      <c r="D98" s="359"/>
      <c r="E98" s="325" t="s">
        <v>200</v>
      </c>
      <c r="F98" s="325"/>
      <c r="G98" s="325"/>
      <c r="H98" s="325" t="s">
        <v>200</v>
      </c>
      <c r="I98" s="325"/>
      <c r="J98" s="325"/>
      <c r="K98" s="360" t="s">
        <v>201</v>
      </c>
      <c r="L98" s="361"/>
    </row>
    <row r="99" spans="1:12" ht="21">
      <c r="A99" s="23"/>
      <c r="B99" s="25"/>
      <c r="C99" s="25" t="s">
        <v>181</v>
      </c>
      <c r="D99" s="25"/>
      <c r="E99" s="25"/>
      <c r="F99" s="25"/>
      <c r="G99" s="25"/>
      <c r="H99" s="25"/>
      <c r="I99" s="25"/>
      <c r="J99" s="25"/>
      <c r="K99" s="360">
        <v>0</v>
      </c>
      <c r="L99" s="361"/>
    </row>
    <row r="100" spans="1:12" ht="21">
      <c r="A100" s="136" t="s">
        <v>180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360"/>
      <c r="L100" s="361"/>
    </row>
    <row r="101" spans="1:12" ht="21">
      <c r="A101" s="364" t="s">
        <v>183</v>
      </c>
      <c r="B101" s="321"/>
      <c r="C101" s="321"/>
      <c r="D101" s="321"/>
      <c r="E101" s="321" t="s">
        <v>184</v>
      </c>
      <c r="F101" s="321"/>
      <c r="G101" s="321"/>
      <c r="H101" s="321" t="s">
        <v>185</v>
      </c>
      <c r="I101" s="321"/>
      <c r="J101" s="321"/>
      <c r="K101" s="360" t="s">
        <v>202</v>
      </c>
      <c r="L101" s="361"/>
    </row>
    <row r="102" spans="1:12" ht="21">
      <c r="A102" s="364" t="s">
        <v>186</v>
      </c>
      <c r="B102" s="321"/>
      <c r="C102" s="321"/>
      <c r="D102" s="321"/>
      <c r="E102" s="321" t="s">
        <v>185</v>
      </c>
      <c r="F102" s="321"/>
      <c r="G102" s="321"/>
      <c r="H102" s="321" t="s">
        <v>185</v>
      </c>
      <c r="I102" s="321"/>
      <c r="J102" s="321"/>
      <c r="K102" s="360" t="s">
        <v>202</v>
      </c>
      <c r="L102" s="361"/>
    </row>
    <row r="103" spans="1:12" ht="21">
      <c r="A103" s="23" t="s">
        <v>648</v>
      </c>
      <c r="B103" s="25"/>
      <c r="C103" s="25"/>
      <c r="D103" s="25"/>
      <c r="E103" s="25"/>
      <c r="F103" s="25"/>
      <c r="G103" s="25"/>
      <c r="H103" s="321"/>
      <c r="I103" s="321"/>
      <c r="J103" s="321"/>
      <c r="K103" s="362">
        <f>SUM(K75-K82)</f>
        <v>9594.72</v>
      </c>
      <c r="L103" s="363"/>
    </row>
    <row r="104" spans="1:12" ht="21">
      <c r="A104" s="137" t="s">
        <v>177</v>
      </c>
      <c r="B104" s="126"/>
      <c r="C104" s="126"/>
      <c r="D104" s="126"/>
      <c r="E104" s="126"/>
      <c r="F104" s="126"/>
      <c r="G104" s="126"/>
      <c r="H104" s="137" t="s">
        <v>178</v>
      </c>
      <c r="I104" s="126"/>
      <c r="J104" s="126"/>
      <c r="K104" s="126"/>
      <c r="L104" s="138"/>
    </row>
    <row r="105" spans="1:12" ht="21">
      <c r="A105" s="23"/>
      <c r="B105" s="25"/>
      <c r="C105" s="25"/>
      <c r="D105" s="25"/>
      <c r="E105" s="25"/>
      <c r="F105" s="25"/>
      <c r="G105" s="25"/>
      <c r="H105" s="23"/>
      <c r="I105" s="25"/>
      <c r="J105" s="25"/>
      <c r="K105" s="25"/>
      <c r="L105" s="129"/>
    </row>
    <row r="106" spans="1:12" ht="21">
      <c r="A106" s="23" t="s">
        <v>655</v>
      </c>
      <c r="B106" s="25"/>
      <c r="C106" s="25"/>
      <c r="D106" s="25"/>
      <c r="E106" s="25"/>
      <c r="F106" s="25"/>
      <c r="G106" s="25"/>
      <c r="H106" s="23" t="s">
        <v>650</v>
      </c>
      <c r="I106" s="25"/>
      <c r="J106" s="25"/>
      <c r="K106" s="25"/>
      <c r="L106" s="129"/>
    </row>
    <row r="107" spans="1:12" ht="21">
      <c r="A107" s="130" t="s">
        <v>401</v>
      </c>
      <c r="B107" s="131"/>
      <c r="C107" s="131"/>
      <c r="D107" s="131"/>
      <c r="E107" s="131"/>
      <c r="F107" s="131"/>
      <c r="G107" s="131"/>
      <c r="H107" s="130" t="s">
        <v>179</v>
      </c>
      <c r="I107" s="131"/>
      <c r="J107" s="131"/>
      <c r="K107" s="132"/>
      <c r="L107" s="133"/>
    </row>
    <row r="108" spans="1:12" ht="21">
      <c r="A108" s="329" t="s">
        <v>0</v>
      </c>
      <c r="B108" s="330"/>
      <c r="C108" s="330"/>
      <c r="D108" s="330"/>
      <c r="E108" s="330"/>
      <c r="F108" s="126"/>
      <c r="G108" s="339" t="s">
        <v>203</v>
      </c>
      <c r="H108" s="340"/>
      <c r="I108" s="340"/>
      <c r="J108" s="340"/>
      <c r="K108" s="340"/>
      <c r="L108" s="341"/>
    </row>
    <row r="109" spans="1:12" ht="21">
      <c r="A109" s="127"/>
      <c r="B109" s="125"/>
      <c r="C109" s="125"/>
      <c r="D109" s="125"/>
      <c r="E109" s="25"/>
      <c r="F109" s="25"/>
      <c r="G109" s="365" t="s">
        <v>590</v>
      </c>
      <c r="H109" s="366"/>
      <c r="I109" s="366"/>
      <c r="J109" s="366"/>
      <c r="K109" s="366"/>
      <c r="L109" s="367"/>
    </row>
    <row r="110" spans="1:15" ht="21">
      <c r="A110" s="134"/>
      <c r="B110" s="135"/>
      <c r="C110" s="331" t="s">
        <v>168</v>
      </c>
      <c r="D110" s="332"/>
      <c r="E110" s="332"/>
      <c r="F110" s="332"/>
      <c r="G110" s="336"/>
      <c r="H110" s="337"/>
      <c r="I110" s="337"/>
      <c r="J110" s="337"/>
      <c r="K110" s="337"/>
      <c r="L110" s="338"/>
      <c r="O110" s="5"/>
    </row>
    <row r="111" spans="1:12" ht="21">
      <c r="A111" s="347" t="s">
        <v>654</v>
      </c>
      <c r="B111" s="344"/>
      <c r="C111" s="344"/>
      <c r="D111" s="344"/>
      <c r="E111" s="344"/>
      <c r="F111" s="344"/>
      <c r="G111" s="344"/>
      <c r="H111" s="344"/>
      <c r="I111" s="344"/>
      <c r="J111" s="344"/>
      <c r="K111" s="351">
        <v>0</v>
      </c>
      <c r="L111" s="352"/>
    </row>
    <row r="112" spans="1:12" ht="21">
      <c r="A112" s="127" t="s">
        <v>169</v>
      </c>
      <c r="B112" s="125"/>
      <c r="C112" s="344" t="s">
        <v>173</v>
      </c>
      <c r="D112" s="344"/>
      <c r="E112" s="344"/>
      <c r="F112" s="344"/>
      <c r="G112" s="344"/>
      <c r="H112" s="344"/>
      <c r="I112" s="344"/>
      <c r="J112" s="344"/>
      <c r="K112" s="312" t="s">
        <v>30</v>
      </c>
      <c r="L112" s="313"/>
    </row>
    <row r="113" spans="1:12" ht="21">
      <c r="A113" s="333" t="s">
        <v>170</v>
      </c>
      <c r="B113" s="334"/>
      <c r="C113" s="334"/>
      <c r="D113" s="334"/>
      <c r="E113" s="335" t="s">
        <v>171</v>
      </c>
      <c r="F113" s="335"/>
      <c r="G113" s="335"/>
      <c r="H113" s="335" t="s">
        <v>172</v>
      </c>
      <c r="I113" s="335"/>
      <c r="J113" s="335"/>
      <c r="K113" s="312"/>
      <c r="L113" s="313"/>
    </row>
    <row r="114" spans="1:12" ht="21">
      <c r="A114" s="353" t="s">
        <v>187</v>
      </c>
      <c r="B114" s="349"/>
      <c r="C114" s="349"/>
      <c r="D114" s="349"/>
      <c r="E114" s="346" t="s">
        <v>188</v>
      </c>
      <c r="F114" s="346"/>
      <c r="G114" s="346"/>
      <c r="H114" s="346" t="s">
        <v>189</v>
      </c>
      <c r="I114" s="346"/>
      <c r="J114" s="346"/>
      <c r="K114" s="354" t="s">
        <v>191</v>
      </c>
      <c r="L114" s="355"/>
    </row>
    <row r="115" spans="1:12" ht="21">
      <c r="A115" s="353" t="s">
        <v>187</v>
      </c>
      <c r="B115" s="349"/>
      <c r="C115" s="349"/>
      <c r="D115" s="349"/>
      <c r="E115" s="346" t="s">
        <v>189</v>
      </c>
      <c r="F115" s="346"/>
      <c r="G115" s="346"/>
      <c r="H115" s="346" t="s">
        <v>190</v>
      </c>
      <c r="I115" s="346"/>
      <c r="J115" s="346"/>
      <c r="K115" s="312" t="s">
        <v>192</v>
      </c>
      <c r="L115" s="313"/>
    </row>
    <row r="116" spans="1:12" ht="21">
      <c r="A116" s="347" t="s">
        <v>174</v>
      </c>
      <c r="B116" s="344"/>
      <c r="C116" s="344"/>
      <c r="D116" s="344"/>
      <c r="E116" s="344"/>
      <c r="F116" s="344"/>
      <c r="G116" s="344"/>
      <c r="H116" s="344"/>
      <c r="I116" s="344"/>
      <c r="J116" s="344"/>
      <c r="K116" s="139"/>
      <c r="L116" s="140"/>
    </row>
    <row r="117" spans="1:12" ht="21">
      <c r="A117" s="333" t="s">
        <v>175</v>
      </c>
      <c r="B117" s="334"/>
      <c r="C117" s="334"/>
      <c r="D117" s="334"/>
      <c r="E117" s="335" t="s">
        <v>176</v>
      </c>
      <c r="F117" s="335"/>
      <c r="G117" s="335"/>
      <c r="H117" s="335" t="s">
        <v>172</v>
      </c>
      <c r="I117" s="335"/>
      <c r="J117" s="335"/>
      <c r="K117" s="139"/>
      <c r="L117" s="140"/>
    </row>
    <row r="118" spans="1:12" ht="21">
      <c r="A118" s="356" t="s">
        <v>197</v>
      </c>
      <c r="B118" s="357"/>
      <c r="C118" s="357"/>
      <c r="D118" s="357"/>
      <c r="E118" s="325" t="s">
        <v>199</v>
      </c>
      <c r="F118" s="325"/>
      <c r="G118" s="325"/>
      <c r="H118" s="325" t="s">
        <v>199</v>
      </c>
      <c r="I118" s="325"/>
      <c r="J118" s="325"/>
      <c r="K118" s="312">
        <v>0</v>
      </c>
      <c r="L118" s="313"/>
    </row>
    <row r="119" spans="1:15" ht="21">
      <c r="A119" s="356" t="s">
        <v>197</v>
      </c>
      <c r="B119" s="357"/>
      <c r="C119" s="357"/>
      <c r="D119" s="357"/>
      <c r="E119" s="325" t="s">
        <v>188</v>
      </c>
      <c r="F119" s="325"/>
      <c r="G119" s="325"/>
      <c r="H119" s="325" t="s">
        <v>188</v>
      </c>
      <c r="I119" s="325"/>
      <c r="J119" s="325"/>
      <c r="K119" s="312" t="s">
        <v>193</v>
      </c>
      <c r="L119" s="313"/>
      <c r="O119" s="5"/>
    </row>
    <row r="120" spans="1:12" ht="21">
      <c r="A120" s="356" t="s">
        <v>187</v>
      </c>
      <c r="B120" s="357"/>
      <c r="C120" s="357"/>
      <c r="D120" s="357"/>
      <c r="E120" s="325" t="s">
        <v>188</v>
      </c>
      <c r="F120" s="325"/>
      <c r="G120" s="325"/>
      <c r="H120" s="325" t="s">
        <v>188</v>
      </c>
      <c r="I120" s="325"/>
      <c r="J120" s="325"/>
      <c r="K120" s="312" t="s">
        <v>193</v>
      </c>
      <c r="L120" s="313"/>
    </row>
    <row r="121" spans="1:12" ht="21">
      <c r="A121" s="356" t="s">
        <v>187</v>
      </c>
      <c r="B121" s="357"/>
      <c r="C121" s="357"/>
      <c r="D121" s="357"/>
      <c r="E121" s="325" t="s">
        <v>199</v>
      </c>
      <c r="F121" s="325"/>
      <c r="G121" s="325"/>
      <c r="H121" s="325" t="s">
        <v>199</v>
      </c>
      <c r="I121" s="325"/>
      <c r="J121" s="325"/>
      <c r="K121" s="312" t="s">
        <v>193</v>
      </c>
      <c r="L121" s="313"/>
    </row>
    <row r="122" spans="1:12" ht="21">
      <c r="A122" s="356" t="s">
        <v>187</v>
      </c>
      <c r="B122" s="357"/>
      <c r="C122" s="357"/>
      <c r="D122" s="357"/>
      <c r="E122" s="325" t="s">
        <v>199</v>
      </c>
      <c r="F122" s="325"/>
      <c r="G122" s="325"/>
      <c r="H122" s="325" t="s">
        <v>199</v>
      </c>
      <c r="I122" s="325"/>
      <c r="J122" s="325"/>
      <c r="K122" s="312" t="s">
        <v>193</v>
      </c>
      <c r="L122" s="313"/>
    </row>
    <row r="123" spans="1:12" ht="21">
      <c r="A123" s="356" t="s">
        <v>197</v>
      </c>
      <c r="B123" s="357"/>
      <c r="C123" s="357"/>
      <c r="D123" s="357"/>
      <c r="E123" s="325" t="s">
        <v>188</v>
      </c>
      <c r="F123" s="325"/>
      <c r="G123" s="325"/>
      <c r="H123" s="325" t="s">
        <v>188</v>
      </c>
      <c r="I123" s="325"/>
      <c r="J123" s="325"/>
      <c r="K123" s="312" t="s">
        <v>193</v>
      </c>
      <c r="L123" s="313"/>
    </row>
    <row r="124" spans="1:12" ht="21">
      <c r="A124" s="356" t="s">
        <v>197</v>
      </c>
      <c r="B124" s="357"/>
      <c r="C124" s="357"/>
      <c r="D124" s="357"/>
      <c r="E124" s="325" t="s">
        <v>188</v>
      </c>
      <c r="F124" s="325"/>
      <c r="G124" s="325"/>
      <c r="H124" s="325" t="s">
        <v>188</v>
      </c>
      <c r="I124" s="325"/>
      <c r="J124" s="325"/>
      <c r="K124" s="312" t="s">
        <v>194</v>
      </c>
      <c r="L124" s="313"/>
    </row>
    <row r="125" spans="1:12" ht="21">
      <c r="A125" s="356" t="s">
        <v>187</v>
      </c>
      <c r="B125" s="357"/>
      <c r="C125" s="357"/>
      <c r="D125" s="357"/>
      <c r="E125" s="325" t="s">
        <v>199</v>
      </c>
      <c r="F125" s="325"/>
      <c r="G125" s="325"/>
      <c r="H125" s="325" t="s">
        <v>199</v>
      </c>
      <c r="I125" s="325"/>
      <c r="J125" s="325"/>
      <c r="K125" s="312" t="s">
        <v>194</v>
      </c>
      <c r="L125" s="313"/>
    </row>
    <row r="126" spans="1:12" ht="21">
      <c r="A126" s="356" t="s">
        <v>187</v>
      </c>
      <c r="B126" s="357"/>
      <c r="C126" s="357"/>
      <c r="D126" s="357"/>
      <c r="E126" s="325" t="s">
        <v>199</v>
      </c>
      <c r="F126" s="325"/>
      <c r="G126" s="325"/>
      <c r="H126" s="325" t="s">
        <v>199</v>
      </c>
      <c r="I126" s="325"/>
      <c r="J126" s="325"/>
      <c r="K126" s="312" t="s">
        <v>193</v>
      </c>
      <c r="L126" s="313"/>
    </row>
    <row r="127" spans="1:12" ht="21">
      <c r="A127" s="356" t="s">
        <v>187</v>
      </c>
      <c r="B127" s="357"/>
      <c r="C127" s="357"/>
      <c r="D127" s="357"/>
      <c r="E127" s="325" t="s">
        <v>188</v>
      </c>
      <c r="F127" s="325"/>
      <c r="G127" s="325"/>
      <c r="H127" s="325" t="s">
        <v>188</v>
      </c>
      <c r="I127" s="325"/>
      <c r="J127" s="325"/>
      <c r="K127" s="312" t="s">
        <v>193</v>
      </c>
      <c r="L127" s="313"/>
    </row>
    <row r="128" spans="1:12" ht="21">
      <c r="A128" s="356" t="s">
        <v>197</v>
      </c>
      <c r="B128" s="357"/>
      <c r="C128" s="357"/>
      <c r="D128" s="357"/>
      <c r="E128" s="325" t="s">
        <v>188</v>
      </c>
      <c r="F128" s="325"/>
      <c r="G128" s="325"/>
      <c r="H128" s="325" t="s">
        <v>188</v>
      </c>
      <c r="I128" s="325"/>
      <c r="J128" s="325"/>
      <c r="K128" s="312" t="s">
        <v>182</v>
      </c>
      <c r="L128" s="313"/>
    </row>
    <row r="129" spans="1:12" ht="21">
      <c r="A129" s="356" t="s">
        <v>197</v>
      </c>
      <c r="B129" s="357"/>
      <c r="C129" s="357"/>
      <c r="D129" s="357"/>
      <c r="E129" s="325" t="s">
        <v>199</v>
      </c>
      <c r="F129" s="325"/>
      <c r="G129" s="325"/>
      <c r="H129" s="325" t="s">
        <v>199</v>
      </c>
      <c r="I129" s="325"/>
      <c r="J129" s="325"/>
      <c r="K129" s="312" t="s">
        <v>193</v>
      </c>
      <c r="L129" s="313"/>
    </row>
    <row r="130" spans="1:12" ht="21">
      <c r="A130" s="356" t="s">
        <v>187</v>
      </c>
      <c r="B130" s="357"/>
      <c r="C130" s="357"/>
      <c r="D130" s="357"/>
      <c r="E130" s="325" t="s">
        <v>199</v>
      </c>
      <c r="F130" s="325"/>
      <c r="G130" s="325"/>
      <c r="H130" s="325" t="s">
        <v>199</v>
      </c>
      <c r="I130" s="325"/>
      <c r="J130" s="325"/>
      <c r="K130" s="312" t="s">
        <v>193</v>
      </c>
      <c r="L130" s="313"/>
    </row>
    <row r="131" spans="1:12" ht="21">
      <c r="A131" s="356" t="s">
        <v>187</v>
      </c>
      <c r="B131" s="357"/>
      <c r="C131" s="357"/>
      <c r="D131" s="357"/>
      <c r="E131" s="325" t="s">
        <v>188</v>
      </c>
      <c r="F131" s="325"/>
      <c r="G131" s="325"/>
      <c r="H131" s="325" t="s">
        <v>188</v>
      </c>
      <c r="I131" s="325"/>
      <c r="J131" s="325"/>
      <c r="K131" s="312" t="s">
        <v>182</v>
      </c>
      <c r="L131" s="313"/>
    </row>
    <row r="132" spans="1:12" ht="21">
      <c r="A132" s="356" t="s">
        <v>187</v>
      </c>
      <c r="B132" s="357"/>
      <c r="C132" s="357"/>
      <c r="D132" s="357"/>
      <c r="E132" s="325" t="s">
        <v>188</v>
      </c>
      <c r="F132" s="325"/>
      <c r="G132" s="325"/>
      <c r="H132" s="325" t="s">
        <v>188</v>
      </c>
      <c r="I132" s="325"/>
      <c r="J132" s="325"/>
      <c r="K132" s="312" t="s">
        <v>193</v>
      </c>
      <c r="L132" s="313"/>
    </row>
    <row r="133" spans="1:12" ht="21">
      <c r="A133" s="358" t="s">
        <v>198</v>
      </c>
      <c r="B133" s="359"/>
      <c r="C133" s="359"/>
      <c r="D133" s="359"/>
      <c r="E133" s="325" t="s">
        <v>199</v>
      </c>
      <c r="F133" s="325"/>
      <c r="G133" s="325"/>
      <c r="H133" s="325" t="s">
        <v>199</v>
      </c>
      <c r="I133" s="325"/>
      <c r="J133" s="325"/>
      <c r="K133" s="312" t="s">
        <v>194</v>
      </c>
      <c r="L133" s="313"/>
    </row>
    <row r="134" spans="1:12" ht="21">
      <c r="A134" s="358" t="s">
        <v>198</v>
      </c>
      <c r="B134" s="359"/>
      <c r="C134" s="359"/>
      <c r="D134" s="359"/>
      <c r="E134" s="325" t="s">
        <v>200</v>
      </c>
      <c r="F134" s="325"/>
      <c r="G134" s="325"/>
      <c r="H134" s="325" t="s">
        <v>200</v>
      </c>
      <c r="I134" s="325"/>
      <c r="J134" s="325"/>
      <c r="K134" s="360" t="s">
        <v>201</v>
      </c>
      <c r="L134" s="361"/>
    </row>
    <row r="135" spans="1:12" ht="21">
      <c r="A135" s="23"/>
      <c r="B135" s="25"/>
      <c r="C135" s="25" t="s">
        <v>181</v>
      </c>
      <c r="D135" s="25"/>
      <c r="E135" s="25"/>
      <c r="F135" s="25"/>
      <c r="G135" s="25"/>
      <c r="H135" s="25"/>
      <c r="I135" s="25"/>
      <c r="J135" s="25"/>
      <c r="K135" s="360"/>
      <c r="L135" s="361"/>
    </row>
    <row r="136" spans="1:12" ht="21">
      <c r="A136" s="136" t="s">
        <v>180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360"/>
      <c r="L136" s="361"/>
    </row>
    <row r="137" spans="1:12" ht="21">
      <c r="A137" s="364" t="s">
        <v>183</v>
      </c>
      <c r="B137" s="321"/>
      <c r="C137" s="321"/>
      <c r="D137" s="321"/>
      <c r="E137" s="321" t="s">
        <v>184</v>
      </c>
      <c r="F137" s="321"/>
      <c r="G137" s="321"/>
      <c r="H137" s="321" t="s">
        <v>185</v>
      </c>
      <c r="I137" s="321"/>
      <c r="J137" s="321"/>
      <c r="K137" s="360" t="s">
        <v>202</v>
      </c>
      <c r="L137" s="361"/>
    </row>
    <row r="138" spans="1:12" ht="21">
      <c r="A138" s="364" t="s">
        <v>186</v>
      </c>
      <c r="B138" s="321"/>
      <c r="C138" s="321"/>
      <c r="D138" s="321"/>
      <c r="E138" s="321" t="s">
        <v>185</v>
      </c>
      <c r="F138" s="321"/>
      <c r="G138" s="321"/>
      <c r="H138" s="321" t="s">
        <v>185</v>
      </c>
      <c r="I138" s="321"/>
      <c r="J138" s="321"/>
      <c r="K138" s="360" t="s">
        <v>202</v>
      </c>
      <c r="L138" s="361"/>
    </row>
    <row r="139" spans="1:12" ht="21">
      <c r="A139" s="23" t="s">
        <v>648</v>
      </c>
      <c r="B139" s="25"/>
      <c r="C139" s="25"/>
      <c r="D139" s="25"/>
      <c r="E139" s="25"/>
      <c r="F139" s="25"/>
      <c r="G139" s="25"/>
      <c r="H139" s="321"/>
      <c r="I139" s="321"/>
      <c r="J139" s="321"/>
      <c r="K139" s="362">
        <f>SUM(K111)</f>
        <v>0</v>
      </c>
      <c r="L139" s="363"/>
    </row>
    <row r="140" spans="1:12" ht="21">
      <c r="A140" s="137" t="s">
        <v>177</v>
      </c>
      <c r="B140" s="126"/>
      <c r="C140" s="126"/>
      <c r="D140" s="126"/>
      <c r="E140" s="126"/>
      <c r="F140" s="126"/>
      <c r="G140" s="126"/>
      <c r="H140" s="137" t="s">
        <v>178</v>
      </c>
      <c r="I140" s="126"/>
      <c r="J140" s="126"/>
      <c r="K140" s="126"/>
      <c r="L140" s="138"/>
    </row>
    <row r="141" spans="1:12" ht="21">
      <c r="A141" s="23"/>
      <c r="B141" s="25"/>
      <c r="C141" s="25"/>
      <c r="D141" s="25"/>
      <c r="E141" s="25"/>
      <c r="F141" s="25"/>
      <c r="G141" s="25"/>
      <c r="H141" s="23"/>
      <c r="I141" s="25"/>
      <c r="J141" s="25"/>
      <c r="K141" s="25"/>
      <c r="L141" s="129"/>
    </row>
    <row r="142" spans="1:12" ht="21">
      <c r="A142" s="23" t="s">
        <v>655</v>
      </c>
      <c r="B142" s="25"/>
      <c r="C142" s="25"/>
      <c r="D142" s="25"/>
      <c r="E142" s="25"/>
      <c r="F142" s="25"/>
      <c r="G142" s="25"/>
      <c r="H142" s="23" t="s">
        <v>656</v>
      </c>
      <c r="I142" s="25"/>
      <c r="J142" s="25"/>
      <c r="K142" s="25"/>
      <c r="L142" s="129"/>
    </row>
    <row r="143" spans="1:12" ht="21">
      <c r="A143" s="130" t="s">
        <v>401</v>
      </c>
      <c r="B143" s="131"/>
      <c r="C143" s="131"/>
      <c r="D143" s="131"/>
      <c r="E143" s="131"/>
      <c r="F143" s="131"/>
      <c r="G143" s="131"/>
      <c r="H143" s="130" t="s">
        <v>179</v>
      </c>
      <c r="I143" s="131"/>
      <c r="J143" s="131"/>
      <c r="K143" s="132"/>
      <c r="L143" s="133"/>
    </row>
    <row r="144" spans="1:12" ht="21">
      <c r="A144" s="329" t="s">
        <v>0</v>
      </c>
      <c r="B144" s="330"/>
      <c r="C144" s="330"/>
      <c r="D144" s="330"/>
      <c r="E144" s="330"/>
      <c r="F144" s="126"/>
      <c r="G144" s="339" t="s">
        <v>203</v>
      </c>
      <c r="H144" s="340"/>
      <c r="I144" s="340"/>
      <c r="J144" s="340"/>
      <c r="K144" s="340"/>
      <c r="L144" s="341"/>
    </row>
    <row r="145" spans="1:12" ht="21">
      <c r="A145" s="127"/>
      <c r="B145" s="125"/>
      <c r="C145" s="125"/>
      <c r="D145" s="125"/>
      <c r="E145" s="25"/>
      <c r="F145" s="25"/>
      <c r="G145" s="365" t="s">
        <v>385</v>
      </c>
      <c r="H145" s="366"/>
      <c r="I145" s="366"/>
      <c r="J145" s="366"/>
      <c r="K145" s="366"/>
      <c r="L145" s="367"/>
    </row>
    <row r="146" spans="1:12" ht="21">
      <c r="A146" s="134"/>
      <c r="B146" s="135"/>
      <c r="C146" s="331" t="s">
        <v>168</v>
      </c>
      <c r="D146" s="332"/>
      <c r="E146" s="332"/>
      <c r="F146" s="332"/>
      <c r="G146" s="336"/>
      <c r="H146" s="337"/>
      <c r="I146" s="337"/>
      <c r="J146" s="337"/>
      <c r="K146" s="337"/>
      <c r="L146" s="338"/>
    </row>
    <row r="147" spans="1:12" ht="21">
      <c r="A147" s="347" t="s">
        <v>654</v>
      </c>
      <c r="B147" s="344"/>
      <c r="C147" s="344"/>
      <c r="D147" s="344"/>
      <c r="E147" s="344"/>
      <c r="F147" s="344"/>
      <c r="G147" s="344"/>
      <c r="H147" s="344"/>
      <c r="I147" s="344"/>
      <c r="J147" s="344"/>
      <c r="K147" s="351">
        <v>10025129.56</v>
      </c>
      <c r="L147" s="352"/>
    </row>
    <row r="148" spans="1:12" ht="21">
      <c r="A148" s="127" t="s">
        <v>169</v>
      </c>
      <c r="B148" s="125"/>
      <c r="C148" s="344" t="s">
        <v>173</v>
      </c>
      <c r="D148" s="344"/>
      <c r="E148" s="344"/>
      <c r="F148" s="344"/>
      <c r="G148" s="344"/>
      <c r="H148" s="344"/>
      <c r="I148" s="344"/>
      <c r="J148" s="344"/>
      <c r="K148" s="312" t="s">
        <v>30</v>
      </c>
      <c r="L148" s="313"/>
    </row>
    <row r="149" spans="1:12" ht="21">
      <c r="A149" s="333" t="s">
        <v>170</v>
      </c>
      <c r="B149" s="334"/>
      <c r="C149" s="334"/>
      <c r="D149" s="334"/>
      <c r="E149" s="335" t="s">
        <v>171</v>
      </c>
      <c r="F149" s="335"/>
      <c r="G149" s="335"/>
      <c r="H149" s="335" t="s">
        <v>172</v>
      </c>
      <c r="I149" s="335"/>
      <c r="J149" s="335"/>
      <c r="K149" s="312"/>
      <c r="L149" s="313"/>
    </row>
    <row r="150" spans="1:12" ht="21">
      <c r="A150" s="353" t="s">
        <v>187</v>
      </c>
      <c r="B150" s="349"/>
      <c r="C150" s="349"/>
      <c r="D150" s="349"/>
      <c r="E150" s="346" t="s">
        <v>188</v>
      </c>
      <c r="F150" s="346"/>
      <c r="G150" s="346"/>
      <c r="H150" s="346" t="s">
        <v>189</v>
      </c>
      <c r="I150" s="346"/>
      <c r="J150" s="346"/>
      <c r="K150" s="354" t="s">
        <v>191</v>
      </c>
      <c r="L150" s="355"/>
    </row>
    <row r="151" spans="1:12" ht="21">
      <c r="A151" s="353" t="s">
        <v>187</v>
      </c>
      <c r="B151" s="349"/>
      <c r="C151" s="349"/>
      <c r="D151" s="349"/>
      <c r="E151" s="346" t="s">
        <v>189</v>
      </c>
      <c r="F151" s="346"/>
      <c r="G151" s="346"/>
      <c r="H151" s="346" t="s">
        <v>190</v>
      </c>
      <c r="I151" s="346"/>
      <c r="J151" s="346"/>
      <c r="K151" s="312" t="s">
        <v>192</v>
      </c>
      <c r="L151" s="313"/>
    </row>
    <row r="152" spans="1:12" ht="21">
      <c r="A152" s="347" t="s">
        <v>174</v>
      </c>
      <c r="B152" s="344"/>
      <c r="C152" s="344"/>
      <c r="D152" s="344"/>
      <c r="E152" s="344"/>
      <c r="F152" s="344"/>
      <c r="G152" s="344"/>
      <c r="H152" s="344"/>
      <c r="I152" s="344"/>
      <c r="J152" s="344"/>
      <c r="K152" s="139"/>
      <c r="L152" s="140"/>
    </row>
    <row r="153" spans="1:12" ht="21">
      <c r="A153" s="333" t="s">
        <v>175</v>
      </c>
      <c r="B153" s="334"/>
      <c r="C153" s="334"/>
      <c r="D153" s="334"/>
      <c r="E153" s="335" t="s">
        <v>176</v>
      </c>
      <c r="F153" s="335"/>
      <c r="G153" s="335"/>
      <c r="H153" s="335" t="s">
        <v>172</v>
      </c>
      <c r="I153" s="335"/>
      <c r="J153" s="335"/>
      <c r="K153" s="139"/>
      <c r="L153" s="140"/>
    </row>
    <row r="154" spans="1:12" ht="21">
      <c r="A154" s="356" t="s">
        <v>197</v>
      </c>
      <c r="B154" s="357"/>
      <c r="C154" s="357"/>
      <c r="D154" s="357"/>
      <c r="E154" s="325" t="s">
        <v>199</v>
      </c>
      <c r="F154" s="325"/>
      <c r="G154" s="325"/>
      <c r="H154" s="325" t="s">
        <v>199</v>
      </c>
      <c r="I154" s="325"/>
      <c r="J154" s="325"/>
      <c r="K154" s="312">
        <v>0</v>
      </c>
      <c r="L154" s="313"/>
    </row>
    <row r="155" spans="1:12" ht="21">
      <c r="A155" s="356" t="s">
        <v>197</v>
      </c>
      <c r="B155" s="357"/>
      <c r="C155" s="357"/>
      <c r="D155" s="357"/>
      <c r="E155" s="325" t="s">
        <v>188</v>
      </c>
      <c r="F155" s="325"/>
      <c r="G155" s="325"/>
      <c r="H155" s="325" t="s">
        <v>188</v>
      </c>
      <c r="I155" s="325"/>
      <c r="J155" s="325"/>
      <c r="K155" s="312" t="s">
        <v>193</v>
      </c>
      <c r="L155" s="313"/>
    </row>
    <row r="156" spans="1:12" ht="21">
      <c r="A156" s="356" t="s">
        <v>187</v>
      </c>
      <c r="B156" s="357"/>
      <c r="C156" s="357"/>
      <c r="D156" s="357"/>
      <c r="E156" s="325" t="s">
        <v>188</v>
      </c>
      <c r="F156" s="325"/>
      <c r="G156" s="325"/>
      <c r="H156" s="325" t="s">
        <v>188</v>
      </c>
      <c r="I156" s="325"/>
      <c r="J156" s="325"/>
      <c r="K156" s="312" t="s">
        <v>193</v>
      </c>
      <c r="L156" s="313"/>
    </row>
    <row r="157" spans="1:12" ht="21">
      <c r="A157" s="356" t="s">
        <v>187</v>
      </c>
      <c r="B157" s="357"/>
      <c r="C157" s="357"/>
      <c r="D157" s="357"/>
      <c r="E157" s="325" t="s">
        <v>199</v>
      </c>
      <c r="F157" s="325"/>
      <c r="G157" s="325"/>
      <c r="H157" s="325" t="s">
        <v>199</v>
      </c>
      <c r="I157" s="325"/>
      <c r="J157" s="325"/>
      <c r="K157" s="312" t="s">
        <v>193</v>
      </c>
      <c r="L157" s="313"/>
    </row>
    <row r="158" spans="1:12" ht="21">
      <c r="A158" s="356" t="s">
        <v>187</v>
      </c>
      <c r="B158" s="357"/>
      <c r="C158" s="357"/>
      <c r="D158" s="357"/>
      <c r="E158" s="325" t="s">
        <v>199</v>
      </c>
      <c r="F158" s="325"/>
      <c r="G158" s="325"/>
      <c r="H158" s="325" t="s">
        <v>199</v>
      </c>
      <c r="I158" s="325"/>
      <c r="J158" s="325"/>
      <c r="K158" s="312" t="s">
        <v>193</v>
      </c>
      <c r="L158" s="313"/>
    </row>
    <row r="159" spans="1:12" ht="21">
      <c r="A159" s="356" t="s">
        <v>197</v>
      </c>
      <c r="B159" s="357"/>
      <c r="C159" s="357"/>
      <c r="D159" s="357"/>
      <c r="E159" s="325" t="s">
        <v>188</v>
      </c>
      <c r="F159" s="325"/>
      <c r="G159" s="325"/>
      <c r="H159" s="325" t="s">
        <v>188</v>
      </c>
      <c r="I159" s="325"/>
      <c r="J159" s="325"/>
      <c r="K159" s="312" t="s">
        <v>193</v>
      </c>
      <c r="L159" s="313"/>
    </row>
    <row r="160" spans="1:12" ht="21">
      <c r="A160" s="356" t="s">
        <v>197</v>
      </c>
      <c r="B160" s="357"/>
      <c r="C160" s="357"/>
      <c r="D160" s="357"/>
      <c r="E160" s="325" t="s">
        <v>188</v>
      </c>
      <c r="F160" s="325"/>
      <c r="G160" s="325"/>
      <c r="H160" s="325" t="s">
        <v>188</v>
      </c>
      <c r="I160" s="325"/>
      <c r="J160" s="325"/>
      <c r="K160" s="312" t="s">
        <v>194</v>
      </c>
      <c r="L160" s="313"/>
    </row>
    <row r="161" spans="1:12" ht="21">
      <c r="A161" s="356" t="s">
        <v>187</v>
      </c>
      <c r="B161" s="357"/>
      <c r="C161" s="357"/>
      <c r="D161" s="357"/>
      <c r="E161" s="325" t="s">
        <v>199</v>
      </c>
      <c r="F161" s="325"/>
      <c r="G161" s="325"/>
      <c r="H161" s="325" t="s">
        <v>199</v>
      </c>
      <c r="I161" s="325"/>
      <c r="J161" s="325"/>
      <c r="K161" s="312" t="s">
        <v>194</v>
      </c>
      <c r="L161" s="313"/>
    </row>
    <row r="162" spans="1:12" ht="21">
      <c r="A162" s="356" t="s">
        <v>187</v>
      </c>
      <c r="B162" s="357"/>
      <c r="C162" s="357"/>
      <c r="D162" s="357"/>
      <c r="E162" s="325" t="s">
        <v>199</v>
      </c>
      <c r="F162" s="325"/>
      <c r="G162" s="325"/>
      <c r="H162" s="325" t="s">
        <v>199</v>
      </c>
      <c r="I162" s="325"/>
      <c r="J162" s="325"/>
      <c r="K162" s="312" t="s">
        <v>193</v>
      </c>
      <c r="L162" s="313"/>
    </row>
    <row r="163" spans="1:12" ht="21">
      <c r="A163" s="356" t="s">
        <v>187</v>
      </c>
      <c r="B163" s="357"/>
      <c r="C163" s="357"/>
      <c r="D163" s="357"/>
      <c r="E163" s="325" t="s">
        <v>188</v>
      </c>
      <c r="F163" s="325"/>
      <c r="G163" s="325"/>
      <c r="H163" s="325" t="s">
        <v>188</v>
      </c>
      <c r="I163" s="325"/>
      <c r="J163" s="325"/>
      <c r="K163" s="312" t="s">
        <v>193</v>
      </c>
      <c r="L163" s="313"/>
    </row>
    <row r="164" spans="1:12" ht="21">
      <c r="A164" s="356" t="s">
        <v>197</v>
      </c>
      <c r="B164" s="357"/>
      <c r="C164" s="357"/>
      <c r="D164" s="357"/>
      <c r="E164" s="325" t="s">
        <v>188</v>
      </c>
      <c r="F164" s="325"/>
      <c r="G164" s="325"/>
      <c r="H164" s="325" t="s">
        <v>188</v>
      </c>
      <c r="I164" s="325"/>
      <c r="J164" s="325"/>
      <c r="K164" s="312" t="s">
        <v>182</v>
      </c>
      <c r="L164" s="313"/>
    </row>
    <row r="165" spans="1:12" ht="21">
      <c r="A165" s="356" t="s">
        <v>197</v>
      </c>
      <c r="B165" s="357"/>
      <c r="C165" s="357"/>
      <c r="D165" s="357"/>
      <c r="E165" s="325" t="s">
        <v>199</v>
      </c>
      <c r="F165" s="325"/>
      <c r="G165" s="325"/>
      <c r="H165" s="325" t="s">
        <v>199</v>
      </c>
      <c r="I165" s="325"/>
      <c r="J165" s="325"/>
      <c r="K165" s="312" t="s">
        <v>193</v>
      </c>
      <c r="L165" s="313"/>
    </row>
    <row r="166" spans="1:12" ht="21">
      <c r="A166" s="356" t="s">
        <v>187</v>
      </c>
      <c r="B166" s="357"/>
      <c r="C166" s="357"/>
      <c r="D166" s="357"/>
      <c r="E166" s="325" t="s">
        <v>199</v>
      </c>
      <c r="F166" s="325"/>
      <c r="G166" s="325"/>
      <c r="H166" s="325" t="s">
        <v>199</v>
      </c>
      <c r="I166" s="325"/>
      <c r="J166" s="325"/>
      <c r="K166" s="312" t="s">
        <v>193</v>
      </c>
      <c r="L166" s="313"/>
    </row>
    <row r="167" spans="1:12" ht="21">
      <c r="A167" s="356" t="s">
        <v>187</v>
      </c>
      <c r="B167" s="357"/>
      <c r="C167" s="357"/>
      <c r="D167" s="357"/>
      <c r="E167" s="325" t="s">
        <v>188</v>
      </c>
      <c r="F167" s="325"/>
      <c r="G167" s="325"/>
      <c r="H167" s="325" t="s">
        <v>188</v>
      </c>
      <c r="I167" s="325"/>
      <c r="J167" s="325"/>
      <c r="K167" s="312" t="s">
        <v>182</v>
      </c>
      <c r="L167" s="313"/>
    </row>
    <row r="168" spans="1:12" ht="21">
      <c r="A168" s="356" t="s">
        <v>187</v>
      </c>
      <c r="B168" s="357"/>
      <c r="C168" s="357"/>
      <c r="D168" s="357"/>
      <c r="E168" s="325" t="s">
        <v>188</v>
      </c>
      <c r="F168" s="325"/>
      <c r="G168" s="325"/>
      <c r="H168" s="325" t="s">
        <v>188</v>
      </c>
      <c r="I168" s="325"/>
      <c r="J168" s="325"/>
      <c r="K168" s="312" t="s">
        <v>193</v>
      </c>
      <c r="L168" s="313"/>
    </row>
    <row r="169" spans="1:12" ht="21">
      <c r="A169" s="358" t="s">
        <v>198</v>
      </c>
      <c r="B169" s="359"/>
      <c r="C169" s="359"/>
      <c r="D169" s="359"/>
      <c r="E169" s="325" t="s">
        <v>199</v>
      </c>
      <c r="F169" s="325"/>
      <c r="G169" s="325"/>
      <c r="H169" s="325" t="s">
        <v>199</v>
      </c>
      <c r="I169" s="325"/>
      <c r="J169" s="325"/>
      <c r="K169" s="312" t="s">
        <v>194</v>
      </c>
      <c r="L169" s="313"/>
    </row>
    <row r="170" spans="1:12" ht="21">
      <c r="A170" s="358" t="s">
        <v>198</v>
      </c>
      <c r="B170" s="359"/>
      <c r="C170" s="359"/>
      <c r="D170" s="359"/>
      <c r="E170" s="325" t="s">
        <v>200</v>
      </c>
      <c r="F170" s="325"/>
      <c r="G170" s="325"/>
      <c r="H170" s="325" t="s">
        <v>200</v>
      </c>
      <c r="I170" s="325"/>
      <c r="J170" s="325"/>
      <c r="K170" s="360" t="s">
        <v>201</v>
      </c>
      <c r="L170" s="361"/>
    </row>
    <row r="171" spans="1:12" ht="21">
      <c r="A171" s="23"/>
      <c r="B171" s="25"/>
      <c r="C171" s="25" t="s">
        <v>181</v>
      </c>
      <c r="D171" s="25"/>
      <c r="E171" s="25"/>
      <c r="F171" s="25"/>
      <c r="G171" s="25"/>
      <c r="H171" s="25"/>
      <c r="I171" s="25"/>
      <c r="J171" s="25"/>
      <c r="K171" s="360"/>
      <c r="L171" s="361"/>
    </row>
    <row r="172" spans="1:12" ht="21">
      <c r="A172" s="136" t="s">
        <v>180</v>
      </c>
      <c r="B172" s="25"/>
      <c r="C172" s="25"/>
      <c r="D172" s="25"/>
      <c r="E172" s="25"/>
      <c r="F172" s="25"/>
      <c r="G172" s="25"/>
      <c r="H172" s="25"/>
      <c r="I172" s="25"/>
      <c r="J172" s="25"/>
      <c r="K172" s="360"/>
      <c r="L172" s="361"/>
    </row>
    <row r="173" spans="1:12" ht="21">
      <c r="A173" s="364" t="s">
        <v>183</v>
      </c>
      <c r="B173" s="321"/>
      <c r="C173" s="321"/>
      <c r="D173" s="321"/>
      <c r="E173" s="321" t="s">
        <v>184</v>
      </c>
      <c r="F173" s="321"/>
      <c r="G173" s="321"/>
      <c r="H173" s="321" t="s">
        <v>185</v>
      </c>
      <c r="I173" s="321"/>
      <c r="J173" s="321"/>
      <c r="K173" s="360" t="s">
        <v>202</v>
      </c>
      <c r="L173" s="361"/>
    </row>
    <row r="174" spans="1:12" ht="21">
      <c r="A174" s="364" t="s">
        <v>186</v>
      </c>
      <c r="B174" s="321"/>
      <c r="C174" s="321"/>
      <c r="D174" s="321"/>
      <c r="E174" s="321" t="s">
        <v>185</v>
      </c>
      <c r="F174" s="321"/>
      <c r="G174" s="321"/>
      <c r="H174" s="321" t="s">
        <v>185</v>
      </c>
      <c r="I174" s="321"/>
      <c r="J174" s="321"/>
      <c r="K174" s="360" t="s">
        <v>202</v>
      </c>
      <c r="L174" s="361"/>
    </row>
    <row r="175" spans="1:12" ht="21">
      <c r="A175" s="23" t="s">
        <v>648</v>
      </c>
      <c r="B175" s="25"/>
      <c r="C175" s="25"/>
      <c r="D175" s="25"/>
      <c r="E175" s="25"/>
      <c r="F175" s="25"/>
      <c r="G175" s="25"/>
      <c r="H175" s="321"/>
      <c r="I175" s="321"/>
      <c r="J175" s="321"/>
      <c r="K175" s="362">
        <f>SUM(K147)</f>
        <v>10025129.56</v>
      </c>
      <c r="L175" s="363"/>
    </row>
    <row r="176" spans="1:12" ht="21">
      <c r="A176" s="137" t="s">
        <v>177</v>
      </c>
      <c r="B176" s="126"/>
      <c r="C176" s="126"/>
      <c r="D176" s="126"/>
      <c r="E176" s="126"/>
      <c r="F176" s="126"/>
      <c r="G176" s="126"/>
      <c r="H176" s="137" t="s">
        <v>178</v>
      </c>
      <c r="I176" s="126"/>
      <c r="J176" s="126"/>
      <c r="K176" s="126"/>
      <c r="L176" s="138"/>
    </row>
    <row r="177" spans="1:12" ht="21">
      <c r="A177" s="23"/>
      <c r="B177" s="25"/>
      <c r="C177" s="25"/>
      <c r="D177" s="25"/>
      <c r="E177" s="25"/>
      <c r="F177" s="25"/>
      <c r="G177" s="25"/>
      <c r="H177" s="23"/>
      <c r="I177" s="25"/>
      <c r="J177" s="25"/>
      <c r="K177" s="25"/>
      <c r="L177" s="129"/>
    </row>
    <row r="178" spans="1:12" ht="21">
      <c r="A178" s="23" t="s">
        <v>655</v>
      </c>
      <c r="B178" s="25"/>
      <c r="C178" s="25"/>
      <c r="D178" s="25"/>
      <c r="E178" s="25"/>
      <c r="F178" s="25"/>
      <c r="G178" s="25"/>
      <c r="H178" s="23" t="s">
        <v>657</v>
      </c>
      <c r="I178" s="25"/>
      <c r="J178" s="25"/>
      <c r="K178" s="25"/>
      <c r="L178" s="129"/>
    </row>
    <row r="179" spans="1:12" ht="21">
      <c r="A179" s="130" t="s">
        <v>401</v>
      </c>
      <c r="B179" s="131"/>
      <c r="C179" s="131"/>
      <c r="D179" s="131"/>
      <c r="E179" s="131"/>
      <c r="F179" s="131"/>
      <c r="G179" s="131"/>
      <c r="H179" s="130" t="s">
        <v>179</v>
      </c>
      <c r="I179" s="131"/>
      <c r="J179" s="131"/>
      <c r="K179" s="132"/>
      <c r="L179" s="133"/>
    </row>
  </sheetData>
  <sheetProtection/>
  <mergeCells count="575">
    <mergeCell ref="A13:D13"/>
    <mergeCell ref="E13:G13"/>
    <mergeCell ref="H13:J13"/>
    <mergeCell ref="K13:L13"/>
    <mergeCell ref="A174:D174"/>
    <mergeCell ref="E174:G174"/>
    <mergeCell ref="H174:J174"/>
    <mergeCell ref="K174:L174"/>
    <mergeCell ref="A169:D169"/>
    <mergeCell ref="E169:G169"/>
    <mergeCell ref="H175:J175"/>
    <mergeCell ref="K175:L175"/>
    <mergeCell ref="K171:L171"/>
    <mergeCell ref="K172:L172"/>
    <mergeCell ref="A173:D173"/>
    <mergeCell ref="E173:G173"/>
    <mergeCell ref="H173:J173"/>
    <mergeCell ref="K173:L173"/>
    <mergeCell ref="H169:J169"/>
    <mergeCell ref="K169:L169"/>
    <mergeCell ref="A170:D170"/>
    <mergeCell ref="E170:G170"/>
    <mergeCell ref="H170:J170"/>
    <mergeCell ref="K170:L170"/>
    <mergeCell ref="A167:D167"/>
    <mergeCell ref="E167:G167"/>
    <mergeCell ref="H167:J167"/>
    <mergeCell ref="K167:L167"/>
    <mergeCell ref="A168:D168"/>
    <mergeCell ref="E168:G168"/>
    <mergeCell ref="H168:J168"/>
    <mergeCell ref="K168:L168"/>
    <mergeCell ref="A165:D165"/>
    <mergeCell ref="E165:G165"/>
    <mergeCell ref="H165:J165"/>
    <mergeCell ref="K165:L165"/>
    <mergeCell ref="A166:D166"/>
    <mergeCell ref="E166:G166"/>
    <mergeCell ref="H166:J166"/>
    <mergeCell ref="K166:L166"/>
    <mergeCell ref="A163:D163"/>
    <mergeCell ref="E163:G163"/>
    <mergeCell ref="H163:J163"/>
    <mergeCell ref="K163:L163"/>
    <mergeCell ref="A164:D164"/>
    <mergeCell ref="E164:G164"/>
    <mergeCell ref="H164:J164"/>
    <mergeCell ref="K164:L164"/>
    <mergeCell ref="A161:D161"/>
    <mergeCell ref="E161:G161"/>
    <mergeCell ref="H161:J161"/>
    <mergeCell ref="K161:L161"/>
    <mergeCell ref="A162:D162"/>
    <mergeCell ref="E162:G162"/>
    <mergeCell ref="H162:J162"/>
    <mergeCell ref="K162:L162"/>
    <mergeCell ref="A159:D159"/>
    <mergeCell ref="E159:G159"/>
    <mergeCell ref="H159:J159"/>
    <mergeCell ref="K159:L159"/>
    <mergeCell ref="A160:D160"/>
    <mergeCell ref="E160:G160"/>
    <mergeCell ref="H160:J160"/>
    <mergeCell ref="K160:L160"/>
    <mergeCell ref="A157:D157"/>
    <mergeCell ref="E157:G157"/>
    <mergeCell ref="H157:J157"/>
    <mergeCell ref="K157:L157"/>
    <mergeCell ref="A158:D158"/>
    <mergeCell ref="E158:G158"/>
    <mergeCell ref="H158:J158"/>
    <mergeCell ref="K158:L158"/>
    <mergeCell ref="K154:L154"/>
    <mergeCell ref="A155:D155"/>
    <mergeCell ref="E155:G155"/>
    <mergeCell ref="H155:J155"/>
    <mergeCell ref="K155:L155"/>
    <mergeCell ref="A156:D156"/>
    <mergeCell ref="E156:G156"/>
    <mergeCell ref="H156:J156"/>
    <mergeCell ref="K156:L156"/>
    <mergeCell ref="A152:J152"/>
    <mergeCell ref="A153:D153"/>
    <mergeCell ref="E153:G153"/>
    <mergeCell ref="H153:J153"/>
    <mergeCell ref="A154:D154"/>
    <mergeCell ref="E154:G154"/>
    <mergeCell ref="H154:J154"/>
    <mergeCell ref="A150:D150"/>
    <mergeCell ref="E150:G150"/>
    <mergeCell ref="H150:J150"/>
    <mergeCell ref="K150:L150"/>
    <mergeCell ref="A151:D151"/>
    <mergeCell ref="E151:G151"/>
    <mergeCell ref="H151:J151"/>
    <mergeCell ref="K151:L151"/>
    <mergeCell ref="C148:J148"/>
    <mergeCell ref="K148:L148"/>
    <mergeCell ref="A149:D149"/>
    <mergeCell ref="E149:G149"/>
    <mergeCell ref="H149:J149"/>
    <mergeCell ref="K149:L149"/>
    <mergeCell ref="A144:E144"/>
    <mergeCell ref="G144:L144"/>
    <mergeCell ref="G145:L145"/>
    <mergeCell ref="C146:F146"/>
    <mergeCell ref="G146:L146"/>
    <mergeCell ref="A147:J147"/>
    <mergeCell ref="K147:L147"/>
    <mergeCell ref="W23:X23"/>
    <mergeCell ref="M24:P24"/>
    <mergeCell ref="Q24:S24"/>
    <mergeCell ref="A27:D27"/>
    <mergeCell ref="E27:G27"/>
    <mergeCell ref="H27:J27"/>
    <mergeCell ref="K27:L27"/>
    <mergeCell ref="Q23:S23"/>
    <mergeCell ref="T23:V23"/>
    <mergeCell ref="T27:V27"/>
    <mergeCell ref="T15:V15"/>
    <mergeCell ref="T24:V24"/>
    <mergeCell ref="M17:P17"/>
    <mergeCell ref="Q17:S17"/>
    <mergeCell ref="W29:X29"/>
    <mergeCell ref="T28:V28"/>
    <mergeCell ref="W28:X28"/>
    <mergeCell ref="N28:R28"/>
    <mergeCell ref="M23:P23"/>
    <mergeCell ref="W24:X24"/>
    <mergeCell ref="T31:V31"/>
    <mergeCell ref="W31:X31"/>
    <mergeCell ref="M26:P26"/>
    <mergeCell ref="Q26:S26"/>
    <mergeCell ref="T26:V26"/>
    <mergeCell ref="W26:X26"/>
    <mergeCell ref="M19:P19"/>
    <mergeCell ref="Q19:S19"/>
    <mergeCell ref="T19:V19"/>
    <mergeCell ref="W19:X19"/>
    <mergeCell ref="T17:V17"/>
    <mergeCell ref="M20:P20"/>
    <mergeCell ref="Q20:S20"/>
    <mergeCell ref="T20:V20"/>
    <mergeCell ref="W20:X20"/>
    <mergeCell ref="W17:X17"/>
    <mergeCell ref="M18:P18"/>
    <mergeCell ref="Q18:S18"/>
    <mergeCell ref="T18:V18"/>
    <mergeCell ref="W18:X18"/>
    <mergeCell ref="M14:P14"/>
    <mergeCell ref="Q14:S14"/>
    <mergeCell ref="T14:V14"/>
    <mergeCell ref="W14:X14"/>
    <mergeCell ref="M16:P16"/>
    <mergeCell ref="Q16:S16"/>
    <mergeCell ref="T16:V16"/>
    <mergeCell ref="W16:X16"/>
    <mergeCell ref="W15:X15"/>
    <mergeCell ref="M15:P15"/>
    <mergeCell ref="Q15:S15"/>
    <mergeCell ref="M12:P12"/>
    <mergeCell ref="Q12:S12"/>
    <mergeCell ref="T12:V12"/>
    <mergeCell ref="W12:X12"/>
    <mergeCell ref="M10:P10"/>
    <mergeCell ref="Q10:S10"/>
    <mergeCell ref="T10:V10"/>
    <mergeCell ref="W10:X10"/>
    <mergeCell ref="M7:P7"/>
    <mergeCell ref="Q7:S7"/>
    <mergeCell ref="T7:V7"/>
    <mergeCell ref="W7:X7"/>
    <mergeCell ref="M9:V9"/>
    <mergeCell ref="W9:X9"/>
    <mergeCell ref="M1:Q1"/>
    <mergeCell ref="M4:V4"/>
    <mergeCell ref="W4:X4"/>
    <mergeCell ref="W5:X5"/>
    <mergeCell ref="M6:P6"/>
    <mergeCell ref="Q6:S6"/>
    <mergeCell ref="T6:V6"/>
    <mergeCell ref="W6:X6"/>
    <mergeCell ref="N5:V5"/>
    <mergeCell ref="M3:Q3"/>
    <mergeCell ref="H138:J138"/>
    <mergeCell ref="K138:L138"/>
    <mergeCell ref="A133:D133"/>
    <mergeCell ref="E133:G133"/>
    <mergeCell ref="H133:J133"/>
    <mergeCell ref="K133:L133"/>
    <mergeCell ref="A134:D134"/>
    <mergeCell ref="E134:G134"/>
    <mergeCell ref="H134:J134"/>
    <mergeCell ref="K134:L134"/>
    <mergeCell ref="H139:J139"/>
    <mergeCell ref="K139:L139"/>
    <mergeCell ref="K135:L135"/>
    <mergeCell ref="K136:L136"/>
    <mergeCell ref="A137:D137"/>
    <mergeCell ref="E137:G137"/>
    <mergeCell ref="H137:J137"/>
    <mergeCell ref="K137:L137"/>
    <mergeCell ref="A138:D138"/>
    <mergeCell ref="E138:G138"/>
    <mergeCell ref="A131:D131"/>
    <mergeCell ref="E131:G131"/>
    <mergeCell ref="H131:J131"/>
    <mergeCell ref="K131:L131"/>
    <mergeCell ref="A132:D132"/>
    <mergeCell ref="E132:G132"/>
    <mergeCell ref="H132:J132"/>
    <mergeCell ref="K132:L132"/>
    <mergeCell ref="A129:D129"/>
    <mergeCell ref="E129:G129"/>
    <mergeCell ref="H129:J129"/>
    <mergeCell ref="K129:L129"/>
    <mergeCell ref="A130:D130"/>
    <mergeCell ref="E130:G130"/>
    <mergeCell ref="H130:J130"/>
    <mergeCell ref="K130:L130"/>
    <mergeCell ref="A127:D127"/>
    <mergeCell ref="E127:G127"/>
    <mergeCell ref="H127:J127"/>
    <mergeCell ref="K127:L127"/>
    <mergeCell ref="A128:D128"/>
    <mergeCell ref="E128:G128"/>
    <mergeCell ref="H128:J128"/>
    <mergeCell ref="K128:L128"/>
    <mergeCell ref="A125:D125"/>
    <mergeCell ref="E125:G125"/>
    <mergeCell ref="H125:J125"/>
    <mergeCell ref="K125:L125"/>
    <mergeCell ref="A126:D126"/>
    <mergeCell ref="E126:G126"/>
    <mergeCell ref="H126:J126"/>
    <mergeCell ref="K126:L126"/>
    <mergeCell ref="A123:D123"/>
    <mergeCell ref="E123:G123"/>
    <mergeCell ref="H123:J123"/>
    <mergeCell ref="K123:L123"/>
    <mergeCell ref="A124:D124"/>
    <mergeCell ref="E124:G124"/>
    <mergeCell ref="H124:J124"/>
    <mergeCell ref="K124:L124"/>
    <mergeCell ref="A121:D121"/>
    <mergeCell ref="E121:G121"/>
    <mergeCell ref="H121:J121"/>
    <mergeCell ref="K121:L121"/>
    <mergeCell ref="A122:D122"/>
    <mergeCell ref="E122:G122"/>
    <mergeCell ref="H122:J122"/>
    <mergeCell ref="K122:L122"/>
    <mergeCell ref="K118:L118"/>
    <mergeCell ref="A119:D119"/>
    <mergeCell ref="E119:G119"/>
    <mergeCell ref="H119:J119"/>
    <mergeCell ref="K119:L119"/>
    <mergeCell ref="A120:D120"/>
    <mergeCell ref="E120:G120"/>
    <mergeCell ref="H120:J120"/>
    <mergeCell ref="K120:L120"/>
    <mergeCell ref="A116:J116"/>
    <mergeCell ref="A117:D117"/>
    <mergeCell ref="E117:G117"/>
    <mergeCell ref="H117:J117"/>
    <mergeCell ref="A118:D118"/>
    <mergeCell ref="E118:G118"/>
    <mergeCell ref="H118:J118"/>
    <mergeCell ref="A114:D114"/>
    <mergeCell ref="E114:G114"/>
    <mergeCell ref="H114:J114"/>
    <mergeCell ref="K114:L114"/>
    <mergeCell ref="A115:D115"/>
    <mergeCell ref="E115:G115"/>
    <mergeCell ref="H115:J115"/>
    <mergeCell ref="K115:L115"/>
    <mergeCell ref="C112:J112"/>
    <mergeCell ref="K112:L112"/>
    <mergeCell ref="A113:D113"/>
    <mergeCell ref="E113:G113"/>
    <mergeCell ref="H113:J113"/>
    <mergeCell ref="K113:L113"/>
    <mergeCell ref="A108:E108"/>
    <mergeCell ref="G108:L108"/>
    <mergeCell ref="G109:L109"/>
    <mergeCell ref="C110:F110"/>
    <mergeCell ref="G110:L110"/>
    <mergeCell ref="A111:J111"/>
    <mergeCell ref="K111:L111"/>
    <mergeCell ref="A102:D102"/>
    <mergeCell ref="E102:G102"/>
    <mergeCell ref="H102:J102"/>
    <mergeCell ref="K102:L102"/>
    <mergeCell ref="H103:J103"/>
    <mergeCell ref="K103:L103"/>
    <mergeCell ref="K99:L99"/>
    <mergeCell ref="K100:L100"/>
    <mergeCell ref="A101:D101"/>
    <mergeCell ref="E101:G101"/>
    <mergeCell ref="H101:J101"/>
    <mergeCell ref="K101:L101"/>
    <mergeCell ref="A97:D97"/>
    <mergeCell ref="E97:G97"/>
    <mergeCell ref="H97:J97"/>
    <mergeCell ref="K97:L97"/>
    <mergeCell ref="A98:D98"/>
    <mergeCell ref="E98:G98"/>
    <mergeCell ref="H98:J98"/>
    <mergeCell ref="K98:L98"/>
    <mergeCell ref="A95:D95"/>
    <mergeCell ref="E95:G95"/>
    <mergeCell ref="H95:J95"/>
    <mergeCell ref="K95:L95"/>
    <mergeCell ref="A96:D96"/>
    <mergeCell ref="E96:G96"/>
    <mergeCell ref="H96:J96"/>
    <mergeCell ref="K96:L96"/>
    <mergeCell ref="A93:D93"/>
    <mergeCell ref="E93:G93"/>
    <mergeCell ref="H93:J93"/>
    <mergeCell ref="K93:L93"/>
    <mergeCell ref="A94:D94"/>
    <mergeCell ref="E94:G94"/>
    <mergeCell ref="H94:J94"/>
    <mergeCell ref="K94:L94"/>
    <mergeCell ref="A91:D91"/>
    <mergeCell ref="E91:G91"/>
    <mergeCell ref="H91:J91"/>
    <mergeCell ref="K91:L91"/>
    <mergeCell ref="A92:D92"/>
    <mergeCell ref="E92:G92"/>
    <mergeCell ref="H92:J92"/>
    <mergeCell ref="K92:L92"/>
    <mergeCell ref="A89:D89"/>
    <mergeCell ref="E89:G89"/>
    <mergeCell ref="H89:J89"/>
    <mergeCell ref="K89:L89"/>
    <mergeCell ref="A90:D90"/>
    <mergeCell ref="E90:G90"/>
    <mergeCell ref="H90:J90"/>
    <mergeCell ref="K90:L90"/>
    <mergeCell ref="A87:D87"/>
    <mergeCell ref="E87:G87"/>
    <mergeCell ref="H87:J87"/>
    <mergeCell ref="K87:L87"/>
    <mergeCell ref="A88:D88"/>
    <mergeCell ref="E88:G88"/>
    <mergeCell ref="H88:J88"/>
    <mergeCell ref="K88:L88"/>
    <mergeCell ref="A85:D85"/>
    <mergeCell ref="E85:G85"/>
    <mergeCell ref="H85:J85"/>
    <mergeCell ref="K85:L85"/>
    <mergeCell ref="A86:D86"/>
    <mergeCell ref="E86:G86"/>
    <mergeCell ref="H86:J86"/>
    <mergeCell ref="K86:L86"/>
    <mergeCell ref="K82:L82"/>
    <mergeCell ref="A83:D83"/>
    <mergeCell ref="E83:G83"/>
    <mergeCell ref="H83:J83"/>
    <mergeCell ref="K83:L83"/>
    <mergeCell ref="A84:D84"/>
    <mergeCell ref="E84:G84"/>
    <mergeCell ref="H84:J84"/>
    <mergeCell ref="K84:L84"/>
    <mergeCell ref="A80:J80"/>
    <mergeCell ref="A81:D81"/>
    <mergeCell ref="E81:G81"/>
    <mergeCell ref="H81:J81"/>
    <mergeCell ref="A82:D82"/>
    <mergeCell ref="E82:G82"/>
    <mergeCell ref="H82:J82"/>
    <mergeCell ref="A78:D78"/>
    <mergeCell ref="E78:G78"/>
    <mergeCell ref="H78:J78"/>
    <mergeCell ref="K78:L78"/>
    <mergeCell ref="A79:D79"/>
    <mergeCell ref="E79:G79"/>
    <mergeCell ref="H79:J79"/>
    <mergeCell ref="K79:L79"/>
    <mergeCell ref="A75:J75"/>
    <mergeCell ref="K75:L75"/>
    <mergeCell ref="C76:J76"/>
    <mergeCell ref="K76:L76"/>
    <mergeCell ref="A77:D77"/>
    <mergeCell ref="E77:G77"/>
    <mergeCell ref="H77:J77"/>
    <mergeCell ref="K77:L77"/>
    <mergeCell ref="A72:E72"/>
    <mergeCell ref="G72:L72"/>
    <mergeCell ref="C74:F74"/>
    <mergeCell ref="G74:L74"/>
    <mergeCell ref="G73:L73"/>
    <mergeCell ref="A66:D66"/>
    <mergeCell ref="E66:G66"/>
    <mergeCell ref="H66:J66"/>
    <mergeCell ref="K66:L66"/>
    <mergeCell ref="H67:J67"/>
    <mergeCell ref="K67:L67"/>
    <mergeCell ref="K63:L63"/>
    <mergeCell ref="K64:L64"/>
    <mergeCell ref="A65:D65"/>
    <mergeCell ref="E65:G65"/>
    <mergeCell ref="H65:J65"/>
    <mergeCell ref="K65:L65"/>
    <mergeCell ref="A61:D61"/>
    <mergeCell ref="E61:G61"/>
    <mergeCell ref="H61:J61"/>
    <mergeCell ref="K61:L61"/>
    <mergeCell ref="A62:D62"/>
    <mergeCell ref="E62:G62"/>
    <mergeCell ref="H62:J62"/>
    <mergeCell ref="K62:L62"/>
    <mergeCell ref="A59:D59"/>
    <mergeCell ref="E59:G59"/>
    <mergeCell ref="H59:J59"/>
    <mergeCell ref="K59:L59"/>
    <mergeCell ref="A60:D60"/>
    <mergeCell ref="E60:G60"/>
    <mergeCell ref="H60:J60"/>
    <mergeCell ref="K60:L60"/>
    <mergeCell ref="A57:D57"/>
    <mergeCell ref="E57:G57"/>
    <mergeCell ref="H57:J57"/>
    <mergeCell ref="K57:L57"/>
    <mergeCell ref="A58:D58"/>
    <mergeCell ref="E58:G58"/>
    <mergeCell ref="H58:J58"/>
    <mergeCell ref="K58:L58"/>
    <mergeCell ref="A55:D55"/>
    <mergeCell ref="E55:G55"/>
    <mergeCell ref="H55:J55"/>
    <mergeCell ref="K55:L55"/>
    <mergeCell ref="A56:D56"/>
    <mergeCell ref="E56:G56"/>
    <mergeCell ref="H56:J56"/>
    <mergeCell ref="K56:L56"/>
    <mergeCell ref="A53:D53"/>
    <mergeCell ref="E53:G53"/>
    <mergeCell ref="H53:J53"/>
    <mergeCell ref="K53:L53"/>
    <mergeCell ref="A54:D54"/>
    <mergeCell ref="E54:G54"/>
    <mergeCell ref="H54:J54"/>
    <mergeCell ref="K54:L54"/>
    <mergeCell ref="A51:D51"/>
    <mergeCell ref="E51:G51"/>
    <mergeCell ref="H51:J51"/>
    <mergeCell ref="K51:L51"/>
    <mergeCell ref="A52:D52"/>
    <mergeCell ref="E52:G52"/>
    <mergeCell ref="H52:J52"/>
    <mergeCell ref="K52:L52"/>
    <mergeCell ref="A49:D49"/>
    <mergeCell ref="E49:G49"/>
    <mergeCell ref="H49:J49"/>
    <mergeCell ref="K49:L49"/>
    <mergeCell ref="A50:D50"/>
    <mergeCell ref="E50:G50"/>
    <mergeCell ref="H50:J50"/>
    <mergeCell ref="K50:L50"/>
    <mergeCell ref="K46:L46"/>
    <mergeCell ref="A47:D47"/>
    <mergeCell ref="E47:G47"/>
    <mergeCell ref="H47:J47"/>
    <mergeCell ref="K47:L47"/>
    <mergeCell ref="A48:D48"/>
    <mergeCell ref="E48:G48"/>
    <mergeCell ref="H48:J48"/>
    <mergeCell ref="K48:L48"/>
    <mergeCell ref="A44:J44"/>
    <mergeCell ref="A45:D45"/>
    <mergeCell ref="E45:G45"/>
    <mergeCell ref="H45:J45"/>
    <mergeCell ref="A46:D46"/>
    <mergeCell ref="E46:G46"/>
    <mergeCell ref="H46:J46"/>
    <mergeCell ref="A42:D42"/>
    <mergeCell ref="E42:G42"/>
    <mergeCell ref="H42:J42"/>
    <mergeCell ref="K42:L42"/>
    <mergeCell ref="A43:D43"/>
    <mergeCell ref="E43:G43"/>
    <mergeCell ref="H43:J43"/>
    <mergeCell ref="K43:L43"/>
    <mergeCell ref="C40:J40"/>
    <mergeCell ref="K40:L40"/>
    <mergeCell ref="A41:D41"/>
    <mergeCell ref="E41:G41"/>
    <mergeCell ref="H41:J41"/>
    <mergeCell ref="K41:L41"/>
    <mergeCell ref="K29:L29"/>
    <mergeCell ref="K28:L28"/>
    <mergeCell ref="K23:L23"/>
    <mergeCell ref="C38:F38"/>
    <mergeCell ref="G38:L38"/>
    <mergeCell ref="A39:J39"/>
    <mergeCell ref="K39:L39"/>
    <mergeCell ref="E24:G24"/>
    <mergeCell ref="A24:D24"/>
    <mergeCell ref="A18:D18"/>
    <mergeCell ref="A19:D19"/>
    <mergeCell ref="E19:G19"/>
    <mergeCell ref="A36:E36"/>
    <mergeCell ref="G36:L36"/>
    <mergeCell ref="H28:J28"/>
    <mergeCell ref="E26:G26"/>
    <mergeCell ref="A26:D26"/>
    <mergeCell ref="K24:L24"/>
    <mergeCell ref="K26:L26"/>
    <mergeCell ref="A12:D12"/>
    <mergeCell ref="A4:J4"/>
    <mergeCell ref="A9:J9"/>
    <mergeCell ref="A10:D10"/>
    <mergeCell ref="H11:J11"/>
    <mergeCell ref="H12:J12"/>
    <mergeCell ref="A7:D7"/>
    <mergeCell ref="A11:D11"/>
    <mergeCell ref="E11:G11"/>
    <mergeCell ref="E12:G12"/>
    <mergeCell ref="E7:G7"/>
    <mergeCell ref="H10:J10"/>
    <mergeCell ref="K10:L10"/>
    <mergeCell ref="E10:G10"/>
    <mergeCell ref="K6:L6"/>
    <mergeCell ref="K7:L7"/>
    <mergeCell ref="A1:E1"/>
    <mergeCell ref="C3:F3"/>
    <mergeCell ref="A6:D6"/>
    <mergeCell ref="E6:G6"/>
    <mergeCell ref="H6:J6"/>
    <mergeCell ref="G3:L3"/>
    <mergeCell ref="G1:L1"/>
    <mergeCell ref="K4:L4"/>
    <mergeCell ref="C5:J5"/>
    <mergeCell ref="K5:L5"/>
    <mergeCell ref="H16:J16"/>
    <mergeCell ref="E15:G15"/>
    <mergeCell ref="H15:J15"/>
    <mergeCell ref="K20:L20"/>
    <mergeCell ref="E14:G14"/>
    <mergeCell ref="E16:G16"/>
    <mergeCell ref="E20:G20"/>
    <mergeCell ref="A14:D14"/>
    <mergeCell ref="H18:J18"/>
    <mergeCell ref="H26:J26"/>
    <mergeCell ref="E17:G17"/>
    <mergeCell ref="E18:G18"/>
    <mergeCell ref="A15:D15"/>
    <mergeCell ref="A17:D17"/>
    <mergeCell ref="H23:J23"/>
    <mergeCell ref="H14:J14"/>
    <mergeCell ref="A16:D16"/>
    <mergeCell ref="E23:G23"/>
    <mergeCell ref="A20:D20"/>
    <mergeCell ref="A23:D23"/>
    <mergeCell ref="R1:X1"/>
    <mergeCell ref="R3:X3"/>
    <mergeCell ref="H31:J31"/>
    <mergeCell ref="K31:L31"/>
    <mergeCell ref="H7:J7"/>
    <mergeCell ref="K9:L9"/>
    <mergeCell ref="K16:L16"/>
    <mergeCell ref="K18:L18"/>
    <mergeCell ref="K17:L17"/>
    <mergeCell ref="K11:L11"/>
    <mergeCell ref="H24:J24"/>
    <mergeCell ref="K14:L14"/>
    <mergeCell ref="K19:L19"/>
    <mergeCell ref="K15:L15"/>
    <mergeCell ref="H20:J20"/>
    <mergeCell ref="H17:J17"/>
    <mergeCell ref="H19:J19"/>
    <mergeCell ref="K12:L12"/>
  </mergeCells>
  <printOptions/>
  <pageMargins left="0.82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8"/>
  <sheetViews>
    <sheetView zoomScalePageLayoutView="0" workbookViewId="0" topLeftCell="E1">
      <selection activeCell="H12" sqref="H12:I12"/>
    </sheetView>
  </sheetViews>
  <sheetFormatPr defaultColWidth="9.33203125" defaultRowHeight="21"/>
  <cols>
    <col min="1" max="1" width="11.33203125" style="0" customWidth="1"/>
    <col min="2" max="2" width="9.83203125" style="0" customWidth="1"/>
    <col min="3" max="3" width="11.83203125" style="0" customWidth="1"/>
    <col min="4" max="4" width="9.33203125" style="0" customWidth="1"/>
    <col min="5" max="5" width="12" style="0" customWidth="1"/>
    <col min="7" max="7" width="3.66015625" style="0" customWidth="1"/>
    <col min="8" max="8" width="11.83203125" style="0" customWidth="1"/>
    <col min="9" max="9" width="3" style="0" customWidth="1"/>
    <col min="10" max="10" width="20.33203125" style="0" customWidth="1"/>
    <col min="11" max="11" width="0.4921875" style="0" customWidth="1"/>
    <col min="12" max="12" width="7.66015625" style="0" customWidth="1"/>
    <col min="13" max="13" width="7" style="0" customWidth="1"/>
    <col min="14" max="14" width="1.3359375" style="0" customWidth="1"/>
    <col min="15" max="15" width="26.66015625" style="0" customWidth="1"/>
    <col min="16" max="16" width="9.83203125" style="0" customWidth="1"/>
    <col min="17" max="18" width="9.33203125" style="0" customWidth="1"/>
    <col min="19" max="19" width="6" style="0" customWidth="1"/>
    <col min="20" max="20" width="9.16015625" style="0" customWidth="1"/>
    <col min="21" max="21" width="14.33203125" style="0" customWidth="1"/>
    <col min="22" max="22" width="2" style="0" customWidth="1"/>
  </cols>
  <sheetData>
    <row r="1" spans="12:21" ht="23.25">
      <c r="L1" s="12" t="s">
        <v>0</v>
      </c>
      <c r="M1" s="12"/>
      <c r="N1" s="12"/>
      <c r="O1" s="12"/>
      <c r="P1" s="11"/>
      <c r="Q1" s="11"/>
      <c r="R1" s="11"/>
      <c r="S1" s="11"/>
      <c r="T1" s="11"/>
      <c r="U1" s="11"/>
    </row>
    <row r="2" spans="1:20" ht="23.25">
      <c r="A2" s="12" t="s">
        <v>0</v>
      </c>
      <c r="B2" s="12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77"/>
      <c r="T2" s="177" t="s">
        <v>281</v>
      </c>
    </row>
    <row r="3" spans="1:20" ht="23.25">
      <c r="A3" s="11"/>
      <c r="B3" s="11"/>
      <c r="C3" s="11"/>
      <c r="D3" s="11"/>
      <c r="E3" s="11"/>
      <c r="F3" s="11"/>
      <c r="G3" s="11"/>
      <c r="H3" s="11"/>
      <c r="I3" s="425" t="s">
        <v>332</v>
      </c>
      <c r="J3" s="425"/>
      <c r="K3" s="425"/>
      <c r="L3" s="11"/>
      <c r="M3" s="11"/>
      <c r="N3" s="11"/>
      <c r="O3" s="11"/>
      <c r="P3" s="11"/>
      <c r="Q3" s="11"/>
      <c r="R3" s="11"/>
      <c r="S3" s="177"/>
      <c r="T3" s="177" t="s">
        <v>282</v>
      </c>
    </row>
    <row r="4" spans="1:21" ht="26.25">
      <c r="A4" s="11"/>
      <c r="B4" s="11"/>
      <c r="C4" s="11"/>
      <c r="D4" s="11"/>
      <c r="E4" s="11"/>
      <c r="F4" s="11"/>
      <c r="G4" s="11"/>
      <c r="H4" s="11"/>
      <c r="I4" s="425" t="s">
        <v>333</v>
      </c>
      <c r="J4" s="425"/>
      <c r="K4" s="425"/>
      <c r="L4" s="311" t="s">
        <v>229</v>
      </c>
      <c r="M4" s="311"/>
      <c r="N4" s="311"/>
      <c r="O4" s="311"/>
      <c r="P4" s="311"/>
      <c r="Q4" s="311"/>
      <c r="R4" s="311"/>
      <c r="S4" s="311"/>
      <c r="T4" s="311"/>
      <c r="U4" s="311"/>
    </row>
    <row r="5" spans="1:21" ht="26.25">
      <c r="A5" s="311" t="s">
        <v>227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11" t="s">
        <v>228</v>
      </c>
      <c r="M5" s="11"/>
      <c r="N5" s="11"/>
      <c r="O5" s="11"/>
      <c r="P5" s="11"/>
      <c r="Q5" s="11"/>
      <c r="R5" s="11"/>
      <c r="S5" s="11"/>
      <c r="T5" s="11"/>
      <c r="U5" s="11"/>
    </row>
    <row r="6" spans="1:21" ht="23.25">
      <c r="A6" s="435" t="s">
        <v>228</v>
      </c>
      <c r="B6" s="435"/>
      <c r="C6" s="435"/>
      <c r="D6" s="11"/>
      <c r="E6" s="11"/>
      <c r="F6" s="11"/>
      <c r="G6" s="11"/>
      <c r="H6" s="11"/>
      <c r="I6" s="11"/>
      <c r="J6" s="11"/>
      <c r="K6" s="11"/>
      <c r="L6" s="436" t="s">
        <v>2</v>
      </c>
      <c r="M6" s="436"/>
      <c r="N6" s="436"/>
      <c r="O6" s="436"/>
      <c r="P6" s="436"/>
      <c r="Q6" s="437" t="s">
        <v>3</v>
      </c>
      <c r="R6" s="436"/>
      <c r="S6" s="436" t="s">
        <v>234</v>
      </c>
      <c r="T6" s="436"/>
      <c r="U6" s="163" t="s">
        <v>235</v>
      </c>
    </row>
    <row r="7" spans="1:21" ht="23.25">
      <c r="A7" s="436" t="s">
        <v>2</v>
      </c>
      <c r="B7" s="436"/>
      <c r="C7" s="436"/>
      <c r="D7" s="436"/>
      <c r="E7" s="436"/>
      <c r="F7" s="437" t="s">
        <v>3</v>
      </c>
      <c r="G7" s="436"/>
      <c r="H7" s="436" t="s">
        <v>234</v>
      </c>
      <c r="I7" s="436"/>
      <c r="J7" s="436" t="s">
        <v>235</v>
      </c>
      <c r="K7" s="436"/>
      <c r="L7" s="165" t="s">
        <v>286</v>
      </c>
      <c r="M7" s="166" t="s">
        <v>285</v>
      </c>
      <c r="N7" s="166"/>
      <c r="O7" s="166"/>
      <c r="P7" s="167"/>
      <c r="Q7" s="420">
        <v>400000</v>
      </c>
      <c r="R7" s="421"/>
      <c r="S7" s="429">
        <v>521671.68</v>
      </c>
      <c r="T7" s="430"/>
      <c r="U7" s="178"/>
    </row>
    <row r="8" spans="1:21" ht="23.25">
      <c r="A8" s="426" t="s">
        <v>329</v>
      </c>
      <c r="B8" s="427"/>
      <c r="C8" s="427"/>
      <c r="D8" s="427"/>
      <c r="E8" s="428"/>
      <c r="F8" s="420">
        <v>110201</v>
      </c>
      <c r="G8" s="421"/>
      <c r="H8" s="429">
        <v>6800</v>
      </c>
      <c r="I8" s="430"/>
      <c r="J8" s="429"/>
      <c r="K8" s="430"/>
      <c r="L8" s="168"/>
      <c r="M8" s="169" t="s">
        <v>288</v>
      </c>
      <c r="N8" s="169"/>
      <c r="O8" s="169" t="s">
        <v>287</v>
      </c>
      <c r="P8" s="170"/>
      <c r="Q8" s="411">
        <v>411001</v>
      </c>
      <c r="R8" s="403"/>
      <c r="S8" s="431"/>
      <c r="T8" s="432"/>
      <c r="U8" s="179">
        <v>7652</v>
      </c>
    </row>
    <row r="9" spans="1:21" ht="23.25">
      <c r="A9" s="412" t="s">
        <v>330</v>
      </c>
      <c r="B9" s="413"/>
      <c r="C9" s="413"/>
      <c r="D9" s="413"/>
      <c r="E9" s="399"/>
      <c r="F9" s="411"/>
      <c r="G9" s="403"/>
      <c r="H9" s="431"/>
      <c r="I9" s="432"/>
      <c r="J9" s="431"/>
      <c r="K9" s="432"/>
      <c r="L9" s="168"/>
      <c r="M9" s="169"/>
      <c r="N9" s="169"/>
      <c r="O9" s="169" t="s">
        <v>260</v>
      </c>
      <c r="P9" s="170"/>
      <c r="Q9" s="411">
        <v>411002</v>
      </c>
      <c r="R9" s="403"/>
      <c r="S9" s="431"/>
      <c r="T9" s="432"/>
      <c r="U9" s="179">
        <v>7607.72</v>
      </c>
    </row>
    <row r="10" spans="1:21" ht="23.25">
      <c r="A10" s="412" t="s">
        <v>270</v>
      </c>
      <c r="B10" s="413"/>
      <c r="C10" s="413"/>
      <c r="D10" s="413"/>
      <c r="E10" s="399"/>
      <c r="F10" s="411">
        <v>110605</v>
      </c>
      <c r="G10" s="403"/>
      <c r="H10" s="431"/>
      <c r="I10" s="432"/>
      <c r="J10" s="431">
        <v>6800</v>
      </c>
      <c r="K10" s="432"/>
      <c r="L10" s="168"/>
      <c r="M10" s="169"/>
      <c r="N10" s="169"/>
      <c r="O10" s="169" t="s">
        <v>289</v>
      </c>
      <c r="P10" s="170"/>
      <c r="Q10" s="411">
        <v>411003</v>
      </c>
      <c r="R10" s="403"/>
      <c r="S10" s="431"/>
      <c r="T10" s="432"/>
      <c r="U10" s="179">
        <v>2040</v>
      </c>
    </row>
    <row r="11" spans="1:21" ht="23.25">
      <c r="A11" s="412"/>
      <c r="B11" s="413"/>
      <c r="C11" s="413"/>
      <c r="D11" s="413"/>
      <c r="E11" s="399"/>
      <c r="F11" s="411"/>
      <c r="G11" s="403"/>
      <c r="H11" s="442"/>
      <c r="I11" s="399"/>
      <c r="J11" s="442"/>
      <c r="K11" s="399"/>
      <c r="L11" s="168"/>
      <c r="M11" s="169"/>
      <c r="N11" s="169"/>
      <c r="O11" s="169" t="s">
        <v>290</v>
      </c>
      <c r="P11" s="170"/>
      <c r="Q11" s="411">
        <v>411004</v>
      </c>
      <c r="R11" s="403"/>
      <c r="S11" s="431"/>
      <c r="T11" s="432"/>
      <c r="U11" s="179">
        <v>540</v>
      </c>
    </row>
    <row r="12" spans="1:21" ht="23.25">
      <c r="A12" s="412"/>
      <c r="B12" s="413"/>
      <c r="C12" s="413"/>
      <c r="D12" s="413"/>
      <c r="E12" s="399"/>
      <c r="F12" s="411"/>
      <c r="G12" s="403"/>
      <c r="H12" s="431"/>
      <c r="I12" s="432"/>
      <c r="J12" s="431"/>
      <c r="K12" s="432"/>
      <c r="L12" s="168"/>
      <c r="M12" s="169"/>
      <c r="N12" s="169"/>
      <c r="O12" s="169" t="s">
        <v>291</v>
      </c>
      <c r="P12" s="170"/>
      <c r="Q12" s="411">
        <v>412103</v>
      </c>
      <c r="R12" s="403"/>
      <c r="S12" s="431"/>
      <c r="T12" s="432"/>
      <c r="U12" s="179">
        <v>0.97</v>
      </c>
    </row>
    <row r="13" spans="1:21" ht="23.25">
      <c r="A13" s="412"/>
      <c r="B13" s="413"/>
      <c r="C13" s="413"/>
      <c r="D13" s="413"/>
      <c r="E13" s="399"/>
      <c r="F13" s="411"/>
      <c r="G13" s="403"/>
      <c r="H13" s="431"/>
      <c r="I13" s="432"/>
      <c r="J13" s="431"/>
      <c r="K13" s="432"/>
      <c r="L13" s="168"/>
      <c r="M13" s="169"/>
      <c r="N13" s="169"/>
      <c r="O13" s="169" t="s">
        <v>292</v>
      </c>
      <c r="P13" s="170"/>
      <c r="Q13" s="411">
        <v>412111</v>
      </c>
      <c r="R13" s="403"/>
      <c r="S13" s="431"/>
      <c r="T13" s="432"/>
      <c r="U13" s="179">
        <v>10</v>
      </c>
    </row>
    <row r="14" spans="1:21" ht="23.25">
      <c r="A14" s="412"/>
      <c r="B14" s="413"/>
      <c r="C14" s="413"/>
      <c r="D14" s="413"/>
      <c r="E14" s="399"/>
      <c r="F14" s="411"/>
      <c r="G14" s="403"/>
      <c r="H14" s="431"/>
      <c r="I14" s="432"/>
      <c r="J14" s="431"/>
      <c r="K14" s="432"/>
      <c r="L14" s="171"/>
      <c r="M14" s="172"/>
      <c r="N14" s="172"/>
      <c r="O14" s="172" t="s">
        <v>283</v>
      </c>
      <c r="P14" s="173"/>
      <c r="Q14" s="411">
        <v>413003</v>
      </c>
      <c r="R14" s="403"/>
      <c r="S14" s="380"/>
      <c r="T14" s="381"/>
      <c r="U14" s="179">
        <v>6208.36</v>
      </c>
    </row>
    <row r="15" spans="1:21" ht="23.25">
      <c r="A15" s="412"/>
      <c r="B15" s="413"/>
      <c r="C15" s="413"/>
      <c r="D15" s="413"/>
      <c r="E15" s="399"/>
      <c r="F15" s="411"/>
      <c r="G15" s="403"/>
      <c r="H15" s="431"/>
      <c r="I15" s="432"/>
      <c r="J15" s="431"/>
      <c r="K15" s="432"/>
      <c r="L15" s="168"/>
      <c r="M15" s="169"/>
      <c r="N15" s="169"/>
      <c r="O15" s="169" t="s">
        <v>271</v>
      </c>
      <c r="P15" s="170"/>
      <c r="Q15" s="411">
        <v>415007</v>
      </c>
      <c r="R15" s="403"/>
      <c r="S15" s="380"/>
      <c r="T15" s="381"/>
      <c r="U15" s="179">
        <v>35500</v>
      </c>
    </row>
    <row r="16" spans="1:21" ht="23.25">
      <c r="A16" s="412"/>
      <c r="B16" s="413"/>
      <c r="C16" s="413"/>
      <c r="D16" s="413"/>
      <c r="E16" s="399"/>
      <c r="F16" s="411"/>
      <c r="G16" s="403"/>
      <c r="H16" s="431"/>
      <c r="I16" s="432"/>
      <c r="J16" s="431"/>
      <c r="K16" s="432"/>
      <c r="L16" s="168"/>
      <c r="M16" s="169"/>
      <c r="N16" s="169"/>
      <c r="O16" s="169" t="s">
        <v>293</v>
      </c>
      <c r="P16" s="170"/>
      <c r="Q16" s="411">
        <v>421004</v>
      </c>
      <c r="R16" s="403"/>
      <c r="S16" s="431"/>
      <c r="T16" s="432"/>
      <c r="U16" s="179">
        <v>134342.74</v>
      </c>
    </row>
    <row r="17" spans="1:21" ht="23.25">
      <c r="A17" s="412"/>
      <c r="B17" s="413"/>
      <c r="C17" s="413"/>
      <c r="D17" s="413"/>
      <c r="E17" s="399"/>
      <c r="F17" s="411"/>
      <c r="G17" s="403"/>
      <c r="H17" s="431"/>
      <c r="I17" s="432"/>
      <c r="J17" s="431"/>
      <c r="K17" s="432"/>
      <c r="L17" s="168"/>
      <c r="M17" s="169"/>
      <c r="N17" s="169"/>
      <c r="O17" s="169" t="s">
        <v>294</v>
      </c>
      <c r="P17" s="170"/>
      <c r="Q17" s="411">
        <v>421005</v>
      </c>
      <c r="R17" s="403"/>
      <c r="S17" s="380"/>
      <c r="T17" s="381"/>
      <c r="U17" s="179">
        <v>5632.45</v>
      </c>
    </row>
    <row r="18" spans="1:21" ht="23.25">
      <c r="A18" s="418"/>
      <c r="B18" s="419"/>
      <c r="C18" s="419"/>
      <c r="D18" s="419"/>
      <c r="E18" s="443"/>
      <c r="F18" s="411"/>
      <c r="G18" s="403"/>
      <c r="H18" s="380"/>
      <c r="I18" s="381"/>
      <c r="J18" s="380"/>
      <c r="K18" s="381"/>
      <c r="L18" s="168"/>
      <c r="M18" s="169"/>
      <c r="N18" s="169"/>
      <c r="O18" s="169" t="s">
        <v>295</v>
      </c>
      <c r="P18" s="170"/>
      <c r="Q18" s="411">
        <v>421006</v>
      </c>
      <c r="R18" s="403"/>
      <c r="S18" s="431"/>
      <c r="T18" s="432"/>
      <c r="U18" s="179">
        <v>75523.25</v>
      </c>
    </row>
    <row r="19" spans="1:21" ht="23.25">
      <c r="A19" s="418"/>
      <c r="B19" s="419"/>
      <c r="C19" s="419"/>
      <c r="D19" s="419"/>
      <c r="E19" s="443"/>
      <c r="F19" s="411"/>
      <c r="G19" s="403"/>
      <c r="H19" s="380"/>
      <c r="I19" s="381"/>
      <c r="J19" s="380"/>
      <c r="K19" s="381"/>
      <c r="L19" s="168"/>
      <c r="M19" s="169"/>
      <c r="N19" s="169"/>
      <c r="O19" s="169" t="s">
        <v>296</v>
      </c>
      <c r="P19" s="170"/>
      <c r="Q19" s="411">
        <v>421007</v>
      </c>
      <c r="R19" s="403"/>
      <c r="S19" s="431"/>
      <c r="T19" s="432"/>
      <c r="U19" s="179">
        <v>200306.31</v>
      </c>
    </row>
    <row r="20" spans="1:21" ht="23.25">
      <c r="A20" s="412"/>
      <c r="B20" s="413"/>
      <c r="C20" s="413"/>
      <c r="D20" s="413"/>
      <c r="E20" s="399"/>
      <c r="F20" s="411"/>
      <c r="G20" s="403"/>
      <c r="H20" s="431"/>
      <c r="I20" s="432"/>
      <c r="J20" s="431"/>
      <c r="K20" s="432"/>
      <c r="L20" s="171"/>
      <c r="M20" s="172"/>
      <c r="N20" s="172"/>
      <c r="O20" s="172" t="s">
        <v>297</v>
      </c>
      <c r="P20" s="173"/>
      <c r="Q20" s="411">
        <v>421015</v>
      </c>
      <c r="R20" s="403"/>
      <c r="S20" s="380"/>
      <c r="T20" s="381"/>
      <c r="U20" s="179">
        <v>37397.88</v>
      </c>
    </row>
    <row r="21" spans="1:21" ht="23.25">
      <c r="A21" s="412"/>
      <c r="B21" s="413"/>
      <c r="C21" s="413"/>
      <c r="D21" s="413"/>
      <c r="E21" s="399"/>
      <c r="F21" s="411"/>
      <c r="G21" s="403"/>
      <c r="H21" s="431"/>
      <c r="I21" s="432"/>
      <c r="J21" s="431"/>
      <c r="K21" s="432"/>
      <c r="L21" s="168"/>
      <c r="M21" s="169"/>
      <c r="N21" s="169"/>
      <c r="O21" s="169" t="s">
        <v>298</v>
      </c>
      <c r="P21" s="170"/>
      <c r="Q21" s="411">
        <v>412128</v>
      </c>
      <c r="R21" s="403"/>
      <c r="S21" s="380"/>
      <c r="T21" s="381"/>
      <c r="U21" s="179">
        <v>50</v>
      </c>
    </row>
    <row r="22" spans="1:21" ht="23.25">
      <c r="A22" s="412"/>
      <c r="B22" s="413"/>
      <c r="C22" s="413"/>
      <c r="D22" s="413"/>
      <c r="E22" s="399"/>
      <c r="F22" s="411"/>
      <c r="G22" s="403"/>
      <c r="H22" s="431"/>
      <c r="I22" s="432"/>
      <c r="J22" s="431"/>
      <c r="K22" s="432"/>
      <c r="L22" s="168"/>
      <c r="M22" s="169"/>
      <c r="N22" s="169"/>
      <c r="O22" s="169" t="s">
        <v>299</v>
      </c>
      <c r="P22" s="170"/>
      <c r="Q22" s="411">
        <v>441002</v>
      </c>
      <c r="R22" s="403"/>
      <c r="S22" s="380"/>
      <c r="T22" s="381"/>
      <c r="U22" s="179">
        <v>8610</v>
      </c>
    </row>
    <row r="23" spans="1:21" ht="23.25">
      <c r="A23" s="412"/>
      <c r="B23" s="413"/>
      <c r="C23" s="413"/>
      <c r="D23" s="413"/>
      <c r="E23" s="399"/>
      <c r="F23" s="411"/>
      <c r="G23" s="403"/>
      <c r="H23" s="431"/>
      <c r="I23" s="432"/>
      <c r="J23" s="431"/>
      <c r="K23" s="432"/>
      <c r="L23" s="168"/>
      <c r="M23" s="169"/>
      <c r="N23" s="169"/>
      <c r="O23" s="169" t="s">
        <v>300</v>
      </c>
      <c r="P23" s="170"/>
      <c r="Q23" s="411">
        <v>415999</v>
      </c>
      <c r="R23" s="403"/>
      <c r="S23" s="380"/>
      <c r="T23" s="381"/>
      <c r="U23" s="179">
        <v>250</v>
      </c>
    </row>
    <row r="24" spans="1:21" ht="23.25">
      <c r="A24" s="412"/>
      <c r="B24" s="413"/>
      <c r="C24" s="413"/>
      <c r="D24" s="413"/>
      <c r="E24" s="399"/>
      <c r="F24" s="411"/>
      <c r="G24" s="403"/>
      <c r="H24" s="444"/>
      <c r="I24" s="445"/>
      <c r="J24" s="444"/>
      <c r="K24" s="445"/>
      <c r="L24" s="168"/>
      <c r="M24" s="169"/>
      <c r="N24" s="169"/>
      <c r="O24" s="169"/>
      <c r="P24" s="170"/>
      <c r="Q24" s="411"/>
      <c r="R24" s="403"/>
      <c r="S24" s="380"/>
      <c r="T24" s="381"/>
      <c r="U24" s="179"/>
    </row>
    <row r="25" spans="1:21" ht="23.25">
      <c r="A25" s="412"/>
      <c r="B25" s="413"/>
      <c r="C25" s="413"/>
      <c r="D25" s="413"/>
      <c r="E25" s="399"/>
      <c r="F25" s="411"/>
      <c r="G25" s="403"/>
      <c r="H25" s="446">
        <f>SUM(H8:I24)</f>
        <v>6800</v>
      </c>
      <c r="I25" s="447"/>
      <c r="J25" s="431">
        <f>SUM(J8:K24)</f>
        <v>6800</v>
      </c>
      <c r="K25" s="432"/>
      <c r="L25" s="168"/>
      <c r="M25" s="169"/>
      <c r="N25" s="169"/>
      <c r="O25" s="169"/>
      <c r="P25" s="170"/>
      <c r="Q25" s="411"/>
      <c r="R25" s="403"/>
      <c r="S25" s="380"/>
      <c r="T25" s="381"/>
      <c r="U25" s="179"/>
    </row>
    <row r="26" spans="1:21" ht="23.25">
      <c r="A26" s="146" t="s">
        <v>230</v>
      </c>
      <c r="B26" s="147" t="s">
        <v>231</v>
      </c>
      <c r="C26" s="147"/>
      <c r="D26" s="143"/>
      <c r="E26" s="143"/>
      <c r="F26" s="143"/>
      <c r="G26" s="143"/>
      <c r="H26" s="143"/>
      <c r="I26" s="143"/>
      <c r="J26" s="143"/>
      <c r="K26" s="144"/>
      <c r="L26" s="168"/>
      <c r="M26" s="169"/>
      <c r="N26" s="169"/>
      <c r="O26" s="170"/>
      <c r="P26" s="170"/>
      <c r="Q26" s="411"/>
      <c r="R26" s="403"/>
      <c r="S26" s="401"/>
      <c r="T26" s="402"/>
      <c r="U26" s="180"/>
    </row>
    <row r="27" spans="1:21" ht="24" thickBot="1">
      <c r="A27" s="418" t="s">
        <v>331</v>
      </c>
      <c r="B27" s="419"/>
      <c r="C27" s="419"/>
      <c r="D27" s="419"/>
      <c r="E27" s="419"/>
      <c r="F27" s="419"/>
      <c r="G27" s="419"/>
      <c r="H27" s="419"/>
      <c r="I27" s="419"/>
      <c r="J27" s="419"/>
      <c r="K27" s="443"/>
      <c r="L27" s="174"/>
      <c r="M27" s="175"/>
      <c r="N27" s="175"/>
      <c r="O27" s="175"/>
      <c r="P27" s="176"/>
      <c r="Q27" s="411"/>
      <c r="R27" s="403"/>
      <c r="S27" s="433">
        <f>SUM(S7:T18)</f>
        <v>521671.68</v>
      </c>
      <c r="T27" s="434"/>
      <c r="U27" s="181">
        <f>SUM(U8:U26)</f>
        <v>521671.68</v>
      </c>
    </row>
    <row r="28" spans="1:21" ht="24" thickTop="1">
      <c r="A28" s="418"/>
      <c r="B28" s="419"/>
      <c r="C28" s="419"/>
      <c r="D28" s="419"/>
      <c r="E28" s="419"/>
      <c r="F28" s="419"/>
      <c r="G28" s="419"/>
      <c r="H28" s="419"/>
      <c r="I28" s="419"/>
      <c r="J28" s="419"/>
      <c r="K28" s="443"/>
      <c r="L28" s="146" t="s">
        <v>230</v>
      </c>
      <c r="M28" s="147"/>
      <c r="N28" s="147" t="s">
        <v>303</v>
      </c>
      <c r="O28" s="143"/>
      <c r="P28" s="143"/>
      <c r="Q28" s="143"/>
      <c r="R28" s="143"/>
      <c r="S28" s="143"/>
      <c r="T28" s="143"/>
      <c r="U28" s="145"/>
    </row>
    <row r="29" spans="1:21" ht="23.2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45"/>
      <c r="L29" s="411" t="s">
        <v>284</v>
      </c>
      <c r="M29" s="389"/>
      <c r="N29" s="389"/>
      <c r="O29" s="389"/>
      <c r="P29" s="389"/>
      <c r="Q29" s="389"/>
      <c r="R29" s="389"/>
      <c r="S29" s="389"/>
      <c r="T29" s="389"/>
      <c r="U29" s="403"/>
    </row>
    <row r="30" spans="1:21" ht="23.25">
      <c r="A30" s="148" t="s">
        <v>177</v>
      </c>
      <c r="B30" s="143"/>
      <c r="C30" s="144"/>
      <c r="D30" s="148" t="s">
        <v>232</v>
      </c>
      <c r="E30" s="143"/>
      <c r="F30" s="143"/>
      <c r="G30" s="144"/>
      <c r="H30" s="147" t="s">
        <v>233</v>
      </c>
      <c r="I30" s="147"/>
      <c r="J30" s="143"/>
      <c r="K30" s="144"/>
      <c r="L30" s="411"/>
      <c r="M30" s="389"/>
      <c r="N30" s="389"/>
      <c r="O30" s="389"/>
      <c r="P30" s="389"/>
      <c r="Q30" s="389"/>
      <c r="R30" s="389"/>
      <c r="S30" s="389"/>
      <c r="T30" s="389"/>
      <c r="U30" s="403"/>
    </row>
    <row r="31" spans="1:21" ht="23.25">
      <c r="A31" s="16"/>
      <c r="B31" s="17"/>
      <c r="C31" s="145"/>
      <c r="D31" s="16"/>
      <c r="E31" s="17"/>
      <c r="F31" s="17"/>
      <c r="G31" s="145"/>
      <c r="H31" s="17"/>
      <c r="I31" s="17"/>
      <c r="J31" s="17"/>
      <c r="K31" s="145"/>
      <c r="L31" s="148" t="s">
        <v>301</v>
      </c>
      <c r="M31" s="143"/>
      <c r="N31" s="143"/>
      <c r="O31" s="147"/>
      <c r="P31" s="147" t="s">
        <v>232</v>
      </c>
      <c r="Q31" s="143"/>
      <c r="R31" s="143"/>
      <c r="S31" s="147" t="s">
        <v>302</v>
      </c>
      <c r="T31" s="147"/>
      <c r="U31" s="144"/>
    </row>
    <row r="32" spans="1:21" ht="23.25">
      <c r="A32" s="149"/>
      <c r="B32" s="150"/>
      <c r="C32" s="151"/>
      <c r="D32" s="149"/>
      <c r="E32" s="150"/>
      <c r="F32" s="150"/>
      <c r="G32" s="151"/>
      <c r="H32" s="150"/>
      <c r="I32" s="150"/>
      <c r="J32" s="150"/>
      <c r="K32" s="151"/>
      <c r="L32" s="411"/>
      <c r="M32" s="389"/>
      <c r="N32" s="389"/>
      <c r="O32" s="389"/>
      <c r="P32" s="389"/>
      <c r="Q32" s="389"/>
      <c r="R32" s="389"/>
      <c r="S32" s="389"/>
      <c r="T32" s="389"/>
      <c r="U32" s="403"/>
    </row>
    <row r="33" spans="12:21" ht="23.25">
      <c r="L33" s="149"/>
      <c r="M33" s="150"/>
      <c r="N33" s="150"/>
      <c r="O33" s="150"/>
      <c r="P33" s="150"/>
      <c r="Q33" s="150"/>
      <c r="R33" s="150"/>
      <c r="S33" s="150"/>
      <c r="T33" s="150"/>
      <c r="U33" s="151"/>
    </row>
    <row r="34" spans="1:11" ht="23.25">
      <c r="A34" s="11" t="s">
        <v>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21" ht="23.25">
      <c r="A35" s="11"/>
      <c r="B35" s="11"/>
      <c r="C35" s="11"/>
      <c r="D35" s="11"/>
      <c r="E35" s="11"/>
      <c r="F35" s="11"/>
      <c r="G35" s="11"/>
      <c r="H35" s="11"/>
      <c r="I35" s="11"/>
      <c r="J35" s="425" t="s">
        <v>265</v>
      </c>
      <c r="K35" s="425"/>
      <c r="L35" s="12" t="s">
        <v>0</v>
      </c>
      <c r="M35" s="12"/>
      <c r="N35" s="12"/>
      <c r="O35" s="11"/>
      <c r="P35" s="11"/>
      <c r="Q35" s="11"/>
      <c r="R35" s="11"/>
      <c r="S35" s="11"/>
      <c r="T35" s="11"/>
      <c r="U35" s="11"/>
    </row>
    <row r="36" spans="1:21" ht="23.25">
      <c r="A36" s="11"/>
      <c r="B36" s="11"/>
      <c r="C36" s="11"/>
      <c r="D36" s="11"/>
      <c r="E36" s="11"/>
      <c r="F36" s="11"/>
      <c r="G36" s="11"/>
      <c r="H36" s="11"/>
      <c r="I36" s="11"/>
      <c r="J36" s="425" t="s">
        <v>311</v>
      </c>
      <c r="K36" s="425"/>
      <c r="L36" s="11"/>
      <c r="M36" s="11"/>
      <c r="N36" s="11"/>
      <c r="O36" s="11"/>
      <c r="P36" s="11"/>
      <c r="Q36" s="11"/>
      <c r="R36" s="11"/>
      <c r="S36" s="11"/>
      <c r="T36" s="425" t="s">
        <v>304</v>
      </c>
      <c r="U36" s="425"/>
    </row>
    <row r="37" spans="1:21" ht="26.25">
      <c r="A37" s="311" t="s">
        <v>229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11"/>
      <c r="M37" s="11"/>
      <c r="N37" s="11"/>
      <c r="O37" s="11"/>
      <c r="P37" s="11"/>
      <c r="Q37" s="11"/>
      <c r="R37" s="11"/>
      <c r="S37" s="11"/>
      <c r="T37" s="425" t="s">
        <v>282</v>
      </c>
      <c r="U37" s="425"/>
    </row>
    <row r="38" spans="1:21" ht="26.25">
      <c r="A38" s="11" t="s">
        <v>228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311" t="s">
        <v>227</v>
      </c>
      <c r="M38" s="311"/>
      <c r="N38" s="311"/>
      <c r="O38" s="311"/>
      <c r="P38" s="311"/>
      <c r="Q38" s="311"/>
      <c r="R38" s="311"/>
      <c r="S38" s="311"/>
      <c r="T38" s="311"/>
      <c r="U38" s="311"/>
    </row>
    <row r="39" spans="1:21" ht="23.25">
      <c r="A39" s="436" t="s">
        <v>2</v>
      </c>
      <c r="B39" s="436"/>
      <c r="C39" s="436"/>
      <c r="D39" s="436"/>
      <c r="E39" s="436"/>
      <c r="F39" s="437" t="s">
        <v>3</v>
      </c>
      <c r="G39" s="436"/>
      <c r="H39" s="436" t="s">
        <v>234</v>
      </c>
      <c r="I39" s="436"/>
      <c r="J39" s="436" t="s">
        <v>235</v>
      </c>
      <c r="K39" s="436"/>
      <c r="L39" s="435" t="s">
        <v>228</v>
      </c>
      <c r="M39" s="435"/>
      <c r="N39" s="435"/>
      <c r="O39" s="11"/>
      <c r="P39" s="11"/>
      <c r="Q39" s="11"/>
      <c r="R39" s="11"/>
      <c r="S39" s="11"/>
      <c r="T39" s="11"/>
      <c r="U39" s="11"/>
    </row>
    <row r="40" spans="1:21" ht="23.25">
      <c r="A40" s="16" t="s">
        <v>267</v>
      </c>
      <c r="B40" s="17"/>
      <c r="C40" s="17"/>
      <c r="D40" s="17"/>
      <c r="E40" s="145"/>
      <c r="F40" s="420">
        <v>110201</v>
      </c>
      <c r="G40" s="421"/>
      <c r="H40" s="429">
        <v>267994.51</v>
      </c>
      <c r="I40" s="430"/>
      <c r="J40" s="426"/>
      <c r="K40" s="428"/>
      <c r="L40" s="436" t="s">
        <v>2</v>
      </c>
      <c r="M40" s="436"/>
      <c r="N40" s="436"/>
      <c r="O40" s="436"/>
      <c r="P40" s="436"/>
      <c r="Q40" s="437" t="s">
        <v>3</v>
      </c>
      <c r="R40" s="436"/>
      <c r="S40" s="436" t="s">
        <v>234</v>
      </c>
      <c r="T40" s="436"/>
      <c r="U40" s="163" t="s">
        <v>235</v>
      </c>
    </row>
    <row r="41" spans="1:21" ht="23.25">
      <c r="A41" s="412" t="s">
        <v>236</v>
      </c>
      <c r="B41" s="413"/>
      <c r="C41" s="413"/>
      <c r="D41" s="413"/>
      <c r="E41" s="399"/>
      <c r="F41" s="412"/>
      <c r="G41" s="399"/>
      <c r="H41" s="412"/>
      <c r="I41" s="399"/>
      <c r="J41" s="412"/>
      <c r="K41" s="399"/>
      <c r="L41" s="426" t="s">
        <v>250</v>
      </c>
      <c r="M41" s="427"/>
      <c r="N41" s="427"/>
      <c r="O41" s="427"/>
      <c r="P41" s="428"/>
      <c r="Q41" s="420">
        <v>110203</v>
      </c>
      <c r="R41" s="421"/>
      <c r="S41" s="429">
        <v>828910.78</v>
      </c>
      <c r="T41" s="430"/>
      <c r="U41" s="182"/>
    </row>
    <row r="42" spans="1:21" ht="23.25">
      <c r="A42" s="159" t="s">
        <v>256</v>
      </c>
      <c r="B42" s="160"/>
      <c r="C42" s="160"/>
      <c r="D42" s="160"/>
      <c r="E42" s="161"/>
      <c r="F42" s="411">
        <v>110203</v>
      </c>
      <c r="G42" s="403"/>
      <c r="H42" s="380">
        <v>910232.78</v>
      </c>
      <c r="I42" s="381"/>
      <c r="J42" s="412"/>
      <c r="K42" s="399"/>
      <c r="L42" s="412" t="s">
        <v>251</v>
      </c>
      <c r="M42" s="413"/>
      <c r="N42" s="413"/>
      <c r="O42" s="413"/>
      <c r="P42" s="399"/>
      <c r="Q42" s="412"/>
      <c r="R42" s="399"/>
      <c r="S42" s="412"/>
      <c r="T42" s="399"/>
      <c r="U42" s="183"/>
    </row>
    <row r="43" spans="1:21" ht="23.25">
      <c r="A43" s="159" t="s">
        <v>257</v>
      </c>
      <c r="B43" s="160"/>
      <c r="C43" s="160"/>
      <c r="D43" s="160"/>
      <c r="E43" s="161"/>
      <c r="F43" s="157"/>
      <c r="G43" s="158"/>
      <c r="H43" s="157"/>
      <c r="I43" s="158"/>
      <c r="J43" s="412"/>
      <c r="K43" s="399"/>
      <c r="L43" s="412" t="s">
        <v>252</v>
      </c>
      <c r="M43" s="413"/>
      <c r="N43" s="413"/>
      <c r="O43" s="413"/>
      <c r="P43" s="399"/>
      <c r="Q43" s="411">
        <v>110201</v>
      </c>
      <c r="R43" s="403"/>
      <c r="S43" s="413"/>
      <c r="T43" s="399"/>
      <c r="U43" s="184">
        <v>828910.78</v>
      </c>
    </row>
    <row r="44" spans="1:21" ht="23.25">
      <c r="A44" s="159" t="s">
        <v>308</v>
      </c>
      <c r="B44" s="160"/>
      <c r="C44" s="160"/>
      <c r="D44" s="160"/>
      <c r="E44" s="161"/>
      <c r="F44" s="411">
        <v>110100</v>
      </c>
      <c r="G44" s="403"/>
      <c r="H44" s="380">
        <v>20</v>
      </c>
      <c r="I44" s="381"/>
      <c r="J44" s="157"/>
      <c r="K44" s="158"/>
      <c r="L44" s="412" t="s">
        <v>253</v>
      </c>
      <c r="M44" s="413"/>
      <c r="N44" s="413"/>
      <c r="O44" s="413"/>
      <c r="P44" s="399"/>
      <c r="Q44" s="412"/>
      <c r="R44" s="399"/>
      <c r="S44" s="422"/>
      <c r="T44" s="399"/>
      <c r="U44" s="185"/>
    </row>
    <row r="45" spans="1:21" ht="24" thickBot="1">
      <c r="A45" s="159"/>
      <c r="B45" s="160"/>
      <c r="C45" s="160"/>
      <c r="D45" s="160"/>
      <c r="E45" s="161"/>
      <c r="F45" s="157"/>
      <c r="G45" s="158"/>
      <c r="H45" s="157"/>
      <c r="I45" s="158"/>
      <c r="J45" s="157"/>
      <c r="K45" s="158"/>
      <c r="L45" s="412"/>
      <c r="M45" s="413"/>
      <c r="N45" s="413"/>
      <c r="O45" s="413"/>
      <c r="P45" s="399"/>
      <c r="Q45" s="412"/>
      <c r="R45" s="399"/>
      <c r="S45" s="423">
        <f>SUM(S41:T44)</f>
        <v>828910.78</v>
      </c>
      <c r="T45" s="424"/>
      <c r="U45" s="186">
        <f>SUM(U43:U44)</f>
        <v>828910.78</v>
      </c>
    </row>
    <row r="46" spans="1:21" ht="24" thickTop="1">
      <c r="A46" s="16" t="s">
        <v>247</v>
      </c>
      <c r="B46" s="17"/>
      <c r="C46" s="17"/>
      <c r="D46" s="17"/>
      <c r="E46" s="145"/>
      <c r="F46" s="411">
        <v>400000</v>
      </c>
      <c r="G46" s="403"/>
      <c r="H46" s="16"/>
      <c r="I46" s="145"/>
      <c r="J46" s="431">
        <v>913830.61</v>
      </c>
      <c r="K46" s="432"/>
      <c r="L46" s="412"/>
      <c r="M46" s="413"/>
      <c r="N46" s="413"/>
      <c r="O46" s="413"/>
      <c r="P46" s="399"/>
      <c r="Q46" s="412"/>
      <c r="R46" s="399"/>
      <c r="S46" s="412"/>
      <c r="T46" s="399"/>
      <c r="U46" s="183"/>
    </row>
    <row r="47" spans="1:21" ht="23.25">
      <c r="A47" s="412" t="s">
        <v>268</v>
      </c>
      <c r="B47" s="413"/>
      <c r="C47" s="413"/>
      <c r="D47" s="413"/>
      <c r="E47" s="399"/>
      <c r="F47" s="411">
        <v>110203</v>
      </c>
      <c r="G47" s="403"/>
      <c r="H47" s="16"/>
      <c r="I47" s="145"/>
      <c r="J47" s="431">
        <v>263037.51</v>
      </c>
      <c r="K47" s="432"/>
      <c r="L47" s="412"/>
      <c r="M47" s="413"/>
      <c r="N47" s="413"/>
      <c r="O47" s="413"/>
      <c r="P47" s="399"/>
      <c r="Q47" s="412"/>
      <c r="R47" s="399"/>
      <c r="S47" s="412"/>
      <c r="T47" s="399"/>
      <c r="U47" s="183"/>
    </row>
    <row r="48" spans="1:21" ht="23.25">
      <c r="A48" s="159" t="s">
        <v>269</v>
      </c>
      <c r="B48" s="160"/>
      <c r="C48" s="160"/>
      <c r="D48" s="160"/>
      <c r="E48" s="161"/>
      <c r="F48" s="411"/>
      <c r="G48" s="403"/>
      <c r="H48" s="16"/>
      <c r="I48" s="145"/>
      <c r="J48" s="431"/>
      <c r="K48" s="432"/>
      <c r="L48" s="412"/>
      <c r="M48" s="413"/>
      <c r="N48" s="413"/>
      <c r="O48" s="413"/>
      <c r="P48" s="399"/>
      <c r="Q48" s="412"/>
      <c r="R48" s="399"/>
      <c r="S48" s="412"/>
      <c r="T48" s="399"/>
      <c r="U48" s="183"/>
    </row>
    <row r="49" spans="1:21" ht="23.25">
      <c r="A49" s="159" t="s">
        <v>273</v>
      </c>
      <c r="B49" s="17"/>
      <c r="C49" s="17"/>
      <c r="D49" s="17"/>
      <c r="E49" s="145"/>
      <c r="F49" s="411">
        <v>230105</v>
      </c>
      <c r="G49" s="403"/>
      <c r="H49" s="16"/>
      <c r="I49" s="145"/>
      <c r="J49" s="431">
        <v>172.35</v>
      </c>
      <c r="K49" s="432"/>
      <c r="L49" s="412"/>
      <c r="M49" s="413"/>
      <c r="N49" s="413"/>
      <c r="O49" s="413"/>
      <c r="P49" s="399"/>
      <c r="Q49" s="412"/>
      <c r="R49" s="399"/>
      <c r="S49" s="412"/>
      <c r="T49" s="399"/>
      <c r="U49" s="183"/>
    </row>
    <row r="50" spans="1:21" ht="23.25">
      <c r="A50" s="16" t="s">
        <v>274</v>
      </c>
      <c r="B50" s="160"/>
      <c r="C50" s="160"/>
      <c r="D50" s="160"/>
      <c r="E50" s="161"/>
      <c r="F50" s="411">
        <v>230106</v>
      </c>
      <c r="G50" s="403"/>
      <c r="H50" s="16"/>
      <c r="I50" s="145"/>
      <c r="J50" s="431">
        <v>206.82</v>
      </c>
      <c r="K50" s="432"/>
      <c r="L50" s="412"/>
      <c r="M50" s="413"/>
      <c r="N50" s="413"/>
      <c r="O50" s="413"/>
      <c r="P50" s="399"/>
      <c r="Q50" s="412"/>
      <c r="R50" s="399"/>
      <c r="S50" s="412"/>
      <c r="T50" s="399"/>
      <c r="U50" s="183"/>
    </row>
    <row r="51" spans="1:21" ht="23.25">
      <c r="A51" s="418" t="s">
        <v>309</v>
      </c>
      <c r="B51" s="419"/>
      <c r="C51" s="419"/>
      <c r="D51" s="419"/>
      <c r="E51" s="443"/>
      <c r="F51" s="411"/>
      <c r="G51" s="403"/>
      <c r="H51" s="16"/>
      <c r="I51" s="145"/>
      <c r="J51" s="431">
        <v>1000</v>
      </c>
      <c r="K51" s="432"/>
      <c r="L51" s="412"/>
      <c r="M51" s="413"/>
      <c r="N51" s="413"/>
      <c r="O51" s="413"/>
      <c r="P51" s="399"/>
      <c r="Q51" s="412"/>
      <c r="R51" s="399"/>
      <c r="S51" s="412"/>
      <c r="T51" s="399"/>
      <c r="U51" s="183"/>
    </row>
    <row r="52" spans="1:21" ht="23.25">
      <c r="A52" s="418"/>
      <c r="B52" s="419"/>
      <c r="C52" s="419"/>
      <c r="D52" s="419"/>
      <c r="E52" s="443"/>
      <c r="F52" s="411"/>
      <c r="G52" s="403"/>
      <c r="H52" s="411"/>
      <c r="I52" s="403"/>
      <c r="J52" s="380"/>
      <c r="K52" s="381"/>
      <c r="L52" s="412"/>
      <c r="M52" s="413"/>
      <c r="N52" s="413"/>
      <c r="O52" s="413"/>
      <c r="P52" s="399"/>
      <c r="Q52" s="412"/>
      <c r="R52" s="399"/>
      <c r="S52" s="412"/>
      <c r="T52" s="399"/>
      <c r="U52" s="183"/>
    </row>
    <row r="53" spans="1:21" ht="23.25">
      <c r="A53" s="412"/>
      <c r="B53" s="413"/>
      <c r="C53" s="413"/>
      <c r="D53" s="413"/>
      <c r="E53" s="399"/>
      <c r="F53" s="412"/>
      <c r="G53" s="399"/>
      <c r="H53" s="431"/>
      <c r="I53" s="432"/>
      <c r="J53" s="442"/>
      <c r="K53" s="399"/>
      <c r="L53" s="412"/>
      <c r="M53" s="413"/>
      <c r="N53" s="413"/>
      <c r="O53" s="413"/>
      <c r="P53" s="399"/>
      <c r="Q53" s="412"/>
      <c r="R53" s="399"/>
      <c r="S53" s="412"/>
      <c r="T53" s="399"/>
      <c r="U53" s="183"/>
    </row>
    <row r="54" spans="1:21" ht="23.25">
      <c r="A54" s="412"/>
      <c r="B54" s="413"/>
      <c r="C54" s="413"/>
      <c r="D54" s="413"/>
      <c r="E54" s="399"/>
      <c r="F54" s="412"/>
      <c r="G54" s="399"/>
      <c r="H54" s="412"/>
      <c r="I54" s="399"/>
      <c r="J54" s="412"/>
      <c r="K54" s="399"/>
      <c r="L54" s="412"/>
      <c r="M54" s="413"/>
      <c r="N54" s="413"/>
      <c r="O54" s="413"/>
      <c r="P54" s="399"/>
      <c r="Q54" s="412"/>
      <c r="R54" s="399"/>
      <c r="S54" s="412"/>
      <c r="T54" s="399"/>
      <c r="U54" s="183"/>
    </row>
    <row r="55" spans="1:21" ht="23.25">
      <c r="A55" s="412"/>
      <c r="B55" s="413"/>
      <c r="C55" s="413"/>
      <c r="D55" s="413"/>
      <c r="E55" s="399"/>
      <c r="F55" s="412"/>
      <c r="G55" s="399"/>
      <c r="H55" s="412"/>
      <c r="I55" s="399"/>
      <c r="J55" s="412"/>
      <c r="K55" s="399"/>
      <c r="L55" s="412"/>
      <c r="M55" s="413"/>
      <c r="N55" s="413"/>
      <c r="O55" s="413"/>
      <c r="P55" s="399"/>
      <c r="Q55" s="412"/>
      <c r="R55" s="399"/>
      <c r="S55" s="412"/>
      <c r="T55" s="399"/>
      <c r="U55" s="183"/>
    </row>
    <row r="56" spans="1:21" ht="23.25">
      <c r="A56" s="412"/>
      <c r="B56" s="413"/>
      <c r="C56" s="413"/>
      <c r="D56" s="413"/>
      <c r="E56" s="399"/>
      <c r="F56" s="412"/>
      <c r="G56" s="399"/>
      <c r="H56" s="412"/>
      <c r="I56" s="399"/>
      <c r="J56" s="412"/>
      <c r="K56" s="399"/>
      <c r="L56" s="412"/>
      <c r="M56" s="413"/>
      <c r="N56" s="413"/>
      <c r="O56" s="413"/>
      <c r="P56" s="399"/>
      <c r="Q56" s="412"/>
      <c r="R56" s="399"/>
      <c r="S56" s="412"/>
      <c r="T56" s="399"/>
      <c r="U56" s="183"/>
    </row>
    <row r="57" spans="1:21" ht="23.25">
      <c r="A57" s="412"/>
      <c r="B57" s="413"/>
      <c r="C57" s="413"/>
      <c r="D57" s="413"/>
      <c r="E57" s="399"/>
      <c r="F57" s="412"/>
      <c r="G57" s="399"/>
      <c r="H57" s="414"/>
      <c r="I57" s="415"/>
      <c r="J57" s="414"/>
      <c r="K57" s="415"/>
      <c r="L57" s="412"/>
      <c r="M57" s="413"/>
      <c r="N57" s="413"/>
      <c r="O57" s="413"/>
      <c r="P57" s="399"/>
      <c r="Q57" s="412"/>
      <c r="R57" s="399"/>
      <c r="S57" s="412"/>
      <c r="T57" s="399"/>
      <c r="U57" s="183"/>
    </row>
    <row r="58" spans="1:21" ht="24" thickBot="1">
      <c r="A58" s="412"/>
      <c r="B58" s="413"/>
      <c r="C58" s="413"/>
      <c r="D58" s="413"/>
      <c r="E58" s="399"/>
      <c r="F58" s="412"/>
      <c r="G58" s="399"/>
      <c r="H58" s="409">
        <f>SUM(H40:I57)</f>
        <v>1178247.29</v>
      </c>
      <c r="I58" s="410"/>
      <c r="J58" s="423">
        <f>SUM(J44:J57)</f>
        <v>1178247.2900000003</v>
      </c>
      <c r="K58" s="424"/>
      <c r="L58" s="412"/>
      <c r="M58" s="413"/>
      <c r="N58" s="413"/>
      <c r="O58" s="413"/>
      <c r="P58" s="399"/>
      <c r="Q58" s="412"/>
      <c r="R58" s="399"/>
      <c r="S58" s="412"/>
      <c r="T58" s="399"/>
      <c r="U58" s="183"/>
    </row>
    <row r="59" spans="1:21" ht="24" thickTop="1">
      <c r="A59" s="412"/>
      <c r="B59" s="413"/>
      <c r="C59" s="413"/>
      <c r="D59" s="413"/>
      <c r="E59" s="399"/>
      <c r="F59" s="412"/>
      <c r="G59" s="399"/>
      <c r="H59" s="412"/>
      <c r="I59" s="399"/>
      <c r="J59" s="412"/>
      <c r="K59" s="399"/>
      <c r="L59" s="414"/>
      <c r="M59" s="400"/>
      <c r="N59" s="400"/>
      <c r="O59" s="400"/>
      <c r="P59" s="415"/>
      <c r="Q59" s="414"/>
      <c r="R59" s="415"/>
      <c r="S59" s="414"/>
      <c r="T59" s="415"/>
      <c r="U59" s="187"/>
    </row>
    <row r="60" spans="1:21" ht="23.25">
      <c r="A60" s="146" t="s">
        <v>230</v>
      </c>
      <c r="B60" s="147" t="s">
        <v>231</v>
      </c>
      <c r="C60" s="147"/>
      <c r="D60" s="143"/>
      <c r="E60" s="143"/>
      <c r="F60" s="143"/>
      <c r="G60" s="143"/>
      <c r="H60" s="143"/>
      <c r="I60" s="143"/>
      <c r="J60" s="143"/>
      <c r="K60" s="144"/>
      <c r="L60" s="146" t="s">
        <v>230</v>
      </c>
      <c r="M60" s="147" t="s">
        <v>231</v>
      </c>
      <c r="N60" s="147"/>
      <c r="O60" s="143"/>
      <c r="P60" s="143"/>
      <c r="Q60" s="143"/>
      <c r="R60" s="143"/>
      <c r="S60" s="143"/>
      <c r="T60" s="143"/>
      <c r="U60" s="143"/>
    </row>
    <row r="61" spans="1:21" ht="23.25">
      <c r="A61" s="411" t="s">
        <v>310</v>
      </c>
      <c r="B61" s="389"/>
      <c r="C61" s="389"/>
      <c r="D61" s="389"/>
      <c r="E61" s="389"/>
      <c r="F61" s="389"/>
      <c r="G61" s="389"/>
      <c r="H61" s="389"/>
      <c r="I61" s="389"/>
      <c r="J61" s="389"/>
      <c r="K61" s="403"/>
      <c r="L61" s="418" t="s">
        <v>248</v>
      </c>
      <c r="M61" s="419"/>
      <c r="N61" s="419"/>
      <c r="O61" s="419"/>
      <c r="P61" s="419"/>
      <c r="Q61" s="419"/>
      <c r="R61" s="419"/>
      <c r="S61" s="419"/>
      <c r="T61" s="419"/>
      <c r="U61" s="419"/>
    </row>
    <row r="62" spans="1:21" ht="23.25">
      <c r="A62" s="411"/>
      <c r="B62" s="389"/>
      <c r="C62" s="389"/>
      <c r="D62" s="389"/>
      <c r="E62" s="389"/>
      <c r="F62" s="389"/>
      <c r="G62" s="389"/>
      <c r="H62" s="389"/>
      <c r="I62" s="389"/>
      <c r="J62" s="389"/>
      <c r="K62" s="403"/>
      <c r="L62" s="411" t="s">
        <v>305</v>
      </c>
      <c r="M62" s="389"/>
      <c r="N62" s="389"/>
      <c r="O62" s="389"/>
      <c r="P62" s="389"/>
      <c r="Q62" s="389"/>
      <c r="R62" s="389"/>
      <c r="S62" s="389"/>
      <c r="T62" s="389"/>
      <c r="U62" s="389"/>
    </row>
    <row r="63" spans="1:21" ht="23.25">
      <c r="A63" s="148" t="s">
        <v>177</v>
      </c>
      <c r="B63" s="143"/>
      <c r="C63" s="144"/>
      <c r="D63" s="148" t="s">
        <v>232</v>
      </c>
      <c r="E63" s="143"/>
      <c r="F63" s="143"/>
      <c r="G63" s="144"/>
      <c r="H63" s="147" t="s">
        <v>233</v>
      </c>
      <c r="I63" s="147"/>
      <c r="J63" s="143"/>
      <c r="K63" s="144"/>
      <c r="L63" s="148" t="s">
        <v>301</v>
      </c>
      <c r="M63" s="143"/>
      <c r="N63" s="143"/>
      <c r="O63" s="147"/>
      <c r="P63" s="147" t="s">
        <v>232</v>
      </c>
      <c r="Q63" s="143"/>
      <c r="R63" s="143"/>
      <c r="S63" s="147" t="s">
        <v>302</v>
      </c>
      <c r="T63" s="147"/>
      <c r="U63" s="144"/>
    </row>
    <row r="64" spans="1:21" ht="23.25">
      <c r="A64" s="157"/>
      <c r="B64" s="26"/>
      <c r="C64" s="158"/>
      <c r="D64" s="26"/>
      <c r="E64" s="26"/>
      <c r="F64" s="26"/>
      <c r="G64" s="158"/>
      <c r="H64" s="26"/>
      <c r="I64" s="26"/>
      <c r="J64" s="26"/>
      <c r="K64" s="158"/>
      <c r="L64" s="411"/>
      <c r="M64" s="389"/>
      <c r="N64" s="389"/>
      <c r="O64" s="389"/>
      <c r="P64" s="389"/>
      <c r="Q64" s="389"/>
      <c r="R64" s="389"/>
      <c r="S64" s="389"/>
      <c r="T64" s="389"/>
      <c r="U64" s="403"/>
    </row>
    <row r="65" spans="1:21" ht="23.25">
      <c r="A65" s="192"/>
      <c r="B65" s="192"/>
      <c r="C65" s="193"/>
      <c r="D65" s="192"/>
      <c r="E65" s="192"/>
      <c r="F65" s="192"/>
      <c r="G65" s="193"/>
      <c r="H65" s="192"/>
      <c r="I65" s="192"/>
      <c r="J65" s="192"/>
      <c r="K65" s="195"/>
      <c r="L65" s="150"/>
      <c r="M65" s="150"/>
      <c r="N65" s="150"/>
      <c r="O65" s="150"/>
      <c r="P65" s="150"/>
      <c r="Q65" s="150"/>
      <c r="R65" s="150"/>
      <c r="S65" s="150"/>
      <c r="T65" s="150"/>
      <c r="U65" s="151"/>
    </row>
    <row r="66" spans="1:11" ht="21">
      <c r="A66" s="194"/>
      <c r="B66" s="191"/>
      <c r="C66" s="191"/>
      <c r="D66" s="191"/>
      <c r="E66" s="191"/>
      <c r="F66" s="191"/>
      <c r="G66" s="191"/>
      <c r="H66" s="191"/>
      <c r="I66" s="191"/>
      <c r="J66" s="191"/>
      <c r="K66" s="193"/>
    </row>
    <row r="67" spans="1:22" ht="23.25">
      <c r="A67" s="11" t="s">
        <v>0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 t="s">
        <v>0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ht="23.25">
      <c r="A68" s="11"/>
      <c r="B68" s="11"/>
      <c r="C68" s="11"/>
      <c r="D68" s="11"/>
      <c r="E68" s="11"/>
      <c r="F68" s="11"/>
      <c r="G68" s="11"/>
      <c r="H68" s="11"/>
      <c r="I68" s="11"/>
      <c r="J68" s="425" t="s">
        <v>276</v>
      </c>
      <c r="K68" s="425"/>
      <c r="L68" s="11"/>
      <c r="M68" s="11"/>
      <c r="N68" s="11"/>
      <c r="O68" s="11"/>
      <c r="P68" s="11"/>
      <c r="Q68" s="11"/>
      <c r="R68" s="11"/>
      <c r="S68" s="11"/>
      <c r="T68" s="11"/>
      <c r="U68" s="425" t="s">
        <v>306</v>
      </c>
      <c r="V68" s="425"/>
    </row>
    <row r="69" spans="1:22" ht="23.25">
      <c r="A69" s="11"/>
      <c r="B69" s="11"/>
      <c r="C69" s="11"/>
      <c r="D69" s="11"/>
      <c r="E69" s="11"/>
      <c r="F69" s="11"/>
      <c r="G69" s="11"/>
      <c r="H69" s="11"/>
      <c r="I69" s="11"/>
      <c r="J69" s="425" t="s">
        <v>272</v>
      </c>
      <c r="K69" s="425"/>
      <c r="L69" s="11"/>
      <c r="M69" s="11"/>
      <c r="N69" s="11"/>
      <c r="O69" s="11"/>
      <c r="P69" s="11"/>
      <c r="Q69" s="11"/>
      <c r="R69" s="11"/>
      <c r="S69" s="11"/>
      <c r="T69" s="11"/>
      <c r="U69" s="425" t="s">
        <v>307</v>
      </c>
      <c r="V69" s="425"/>
    </row>
    <row r="70" spans="1:22" ht="26.25">
      <c r="A70" s="311" t="s">
        <v>229</v>
      </c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 t="s">
        <v>229</v>
      </c>
      <c r="M70" s="311"/>
      <c r="N70" s="311"/>
      <c r="O70" s="311"/>
      <c r="P70" s="311"/>
      <c r="Q70" s="311"/>
      <c r="R70" s="311"/>
      <c r="S70" s="311"/>
      <c r="T70" s="311"/>
      <c r="U70" s="311"/>
      <c r="V70" s="311"/>
    </row>
    <row r="71" spans="1:22" ht="23.25">
      <c r="A71" s="11" t="s">
        <v>228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 t="s">
        <v>228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ht="23.25">
      <c r="A72" s="436" t="s">
        <v>2</v>
      </c>
      <c r="B72" s="436"/>
      <c r="C72" s="436"/>
      <c r="D72" s="436"/>
      <c r="E72" s="436"/>
      <c r="F72" s="437" t="s">
        <v>3</v>
      </c>
      <c r="G72" s="436"/>
      <c r="H72" s="436" t="s">
        <v>234</v>
      </c>
      <c r="I72" s="436"/>
      <c r="J72" s="436" t="s">
        <v>235</v>
      </c>
      <c r="K72" s="436"/>
      <c r="L72" s="436" t="s">
        <v>2</v>
      </c>
      <c r="M72" s="436"/>
      <c r="N72" s="436"/>
      <c r="O72" s="436"/>
      <c r="P72" s="436"/>
      <c r="Q72" s="437" t="s">
        <v>3</v>
      </c>
      <c r="R72" s="436"/>
      <c r="S72" s="436" t="s">
        <v>234</v>
      </c>
      <c r="T72" s="436"/>
      <c r="U72" s="436" t="s">
        <v>235</v>
      </c>
      <c r="V72" s="436"/>
    </row>
    <row r="73" spans="1:22" ht="23.25">
      <c r="A73" s="426" t="s">
        <v>246</v>
      </c>
      <c r="B73" s="427"/>
      <c r="C73" s="427"/>
      <c r="D73" s="427"/>
      <c r="E73" s="428"/>
      <c r="F73" s="420">
        <v>510000</v>
      </c>
      <c r="G73" s="421"/>
      <c r="H73" s="407">
        <v>31524</v>
      </c>
      <c r="I73" s="408"/>
      <c r="J73" s="407"/>
      <c r="K73" s="408"/>
      <c r="L73" s="16" t="s">
        <v>267</v>
      </c>
      <c r="M73" s="17"/>
      <c r="N73" s="17"/>
      <c r="O73" s="17"/>
      <c r="P73" s="145"/>
      <c r="Q73" s="420">
        <v>110201</v>
      </c>
      <c r="R73" s="421"/>
      <c r="S73" s="429">
        <v>267994.51</v>
      </c>
      <c r="T73" s="430"/>
      <c r="U73" s="426"/>
      <c r="V73" s="428"/>
    </row>
    <row r="74" spans="1:22" ht="23.25">
      <c r="A74" s="412" t="s">
        <v>261</v>
      </c>
      <c r="B74" s="413"/>
      <c r="C74" s="413"/>
      <c r="D74" s="413"/>
      <c r="E74" s="399"/>
      <c r="F74" s="411">
        <v>441002</v>
      </c>
      <c r="G74" s="403"/>
      <c r="H74" s="405">
        <v>211000</v>
      </c>
      <c r="I74" s="406"/>
      <c r="J74" s="405"/>
      <c r="K74" s="406"/>
      <c r="L74" s="412" t="s">
        <v>236</v>
      </c>
      <c r="M74" s="413"/>
      <c r="N74" s="413"/>
      <c r="O74" s="413"/>
      <c r="P74" s="399"/>
      <c r="Q74" s="412"/>
      <c r="R74" s="399"/>
      <c r="S74" s="412"/>
      <c r="T74" s="399"/>
      <c r="U74" s="412"/>
      <c r="V74" s="399"/>
    </row>
    <row r="75" spans="1:22" ht="23.25">
      <c r="A75" s="412" t="s">
        <v>237</v>
      </c>
      <c r="B75" s="413"/>
      <c r="C75" s="413"/>
      <c r="D75" s="413"/>
      <c r="E75" s="399"/>
      <c r="F75" s="411">
        <v>521000</v>
      </c>
      <c r="G75" s="403"/>
      <c r="H75" s="405">
        <v>149080</v>
      </c>
      <c r="I75" s="406"/>
      <c r="J75" s="405"/>
      <c r="K75" s="406"/>
      <c r="L75" s="159" t="s">
        <v>256</v>
      </c>
      <c r="M75" s="160"/>
      <c r="N75" s="160"/>
      <c r="O75" s="160"/>
      <c r="P75" s="161"/>
      <c r="Q75" s="411">
        <v>110203</v>
      </c>
      <c r="R75" s="403"/>
      <c r="S75" s="380">
        <v>910232.78</v>
      </c>
      <c r="T75" s="381"/>
      <c r="U75" s="412"/>
      <c r="V75" s="399"/>
    </row>
    <row r="76" spans="1:22" ht="23.25">
      <c r="A76" s="412" t="s">
        <v>238</v>
      </c>
      <c r="B76" s="413"/>
      <c r="C76" s="413"/>
      <c r="D76" s="413"/>
      <c r="E76" s="399"/>
      <c r="F76" s="411">
        <v>522000</v>
      </c>
      <c r="G76" s="403"/>
      <c r="H76" s="405">
        <v>208130</v>
      </c>
      <c r="I76" s="406"/>
      <c r="J76" s="405"/>
      <c r="K76" s="406"/>
      <c r="L76" s="159" t="s">
        <v>257</v>
      </c>
      <c r="M76" s="160"/>
      <c r="N76" s="160"/>
      <c r="O76" s="160"/>
      <c r="P76" s="161"/>
      <c r="Q76" s="157"/>
      <c r="R76" s="158"/>
      <c r="S76" s="157"/>
      <c r="T76" s="158"/>
      <c r="U76" s="412"/>
      <c r="V76" s="399"/>
    </row>
    <row r="77" spans="1:22" ht="23.25">
      <c r="A77" s="412" t="s">
        <v>239</v>
      </c>
      <c r="B77" s="413"/>
      <c r="C77" s="413"/>
      <c r="D77" s="413"/>
      <c r="E77" s="399"/>
      <c r="F77" s="411">
        <v>531000</v>
      </c>
      <c r="G77" s="403"/>
      <c r="H77" s="405">
        <v>21684</v>
      </c>
      <c r="I77" s="406"/>
      <c r="J77" s="405"/>
      <c r="K77" s="406"/>
      <c r="L77" s="159" t="s">
        <v>308</v>
      </c>
      <c r="M77" s="160"/>
      <c r="N77" s="160"/>
      <c r="O77" s="160"/>
      <c r="P77" s="161"/>
      <c r="Q77" s="411">
        <v>110100</v>
      </c>
      <c r="R77" s="403"/>
      <c r="S77" s="380">
        <v>20</v>
      </c>
      <c r="T77" s="381"/>
      <c r="U77" s="157"/>
      <c r="V77" s="158"/>
    </row>
    <row r="78" spans="1:22" ht="23.25">
      <c r="A78" s="412" t="s">
        <v>240</v>
      </c>
      <c r="B78" s="413"/>
      <c r="C78" s="413"/>
      <c r="D78" s="413"/>
      <c r="E78" s="399"/>
      <c r="F78" s="411">
        <v>532000</v>
      </c>
      <c r="G78" s="403"/>
      <c r="H78" s="405">
        <v>42152.8</v>
      </c>
      <c r="I78" s="406"/>
      <c r="J78" s="405"/>
      <c r="K78" s="406"/>
      <c r="L78" s="159"/>
      <c r="M78" s="160"/>
      <c r="N78" s="160"/>
      <c r="O78" s="160"/>
      <c r="P78" s="161"/>
      <c r="Q78" s="157"/>
      <c r="R78" s="158"/>
      <c r="S78" s="157"/>
      <c r="T78" s="158"/>
      <c r="U78" s="157"/>
      <c r="V78" s="158"/>
    </row>
    <row r="79" spans="1:22" ht="23.25">
      <c r="A79" s="412" t="s">
        <v>241</v>
      </c>
      <c r="B79" s="413"/>
      <c r="C79" s="413"/>
      <c r="D79" s="413"/>
      <c r="E79" s="399"/>
      <c r="F79" s="411">
        <v>533000</v>
      </c>
      <c r="G79" s="403"/>
      <c r="H79" s="405">
        <v>92450</v>
      </c>
      <c r="I79" s="406"/>
      <c r="J79" s="405"/>
      <c r="K79" s="406"/>
      <c r="L79" s="16" t="s">
        <v>247</v>
      </c>
      <c r="M79" s="17"/>
      <c r="N79" s="17"/>
      <c r="O79" s="17"/>
      <c r="P79" s="145"/>
      <c r="Q79" s="411">
        <v>400000</v>
      </c>
      <c r="R79" s="403"/>
      <c r="S79" s="16"/>
      <c r="T79" s="145"/>
      <c r="U79" s="431">
        <v>913830.61</v>
      </c>
      <c r="V79" s="432"/>
    </row>
    <row r="80" spans="1:22" ht="23.25">
      <c r="A80" s="412" t="s">
        <v>242</v>
      </c>
      <c r="B80" s="413"/>
      <c r="C80" s="413"/>
      <c r="D80" s="413"/>
      <c r="E80" s="399"/>
      <c r="F80" s="411">
        <v>534000</v>
      </c>
      <c r="G80" s="403"/>
      <c r="H80" s="405">
        <v>7771.81</v>
      </c>
      <c r="I80" s="406"/>
      <c r="J80" s="405"/>
      <c r="K80" s="406"/>
      <c r="L80" s="412" t="s">
        <v>268</v>
      </c>
      <c r="M80" s="413"/>
      <c r="N80" s="413"/>
      <c r="O80" s="413"/>
      <c r="P80" s="399"/>
      <c r="Q80" s="411">
        <v>110203</v>
      </c>
      <c r="R80" s="403"/>
      <c r="S80" s="16"/>
      <c r="T80" s="145"/>
      <c r="U80" s="431">
        <v>263037.51</v>
      </c>
      <c r="V80" s="432"/>
    </row>
    <row r="81" spans="1:22" ht="23.25">
      <c r="A81" s="412" t="s">
        <v>249</v>
      </c>
      <c r="B81" s="413"/>
      <c r="C81" s="413"/>
      <c r="D81" s="413"/>
      <c r="E81" s="399"/>
      <c r="F81" s="411">
        <v>110605</v>
      </c>
      <c r="G81" s="403"/>
      <c r="H81" s="405">
        <v>1838</v>
      </c>
      <c r="I81" s="406"/>
      <c r="J81" s="405"/>
      <c r="K81" s="406"/>
      <c r="L81" s="159" t="s">
        <v>269</v>
      </c>
      <c r="M81" s="160"/>
      <c r="N81" s="160"/>
      <c r="O81" s="160"/>
      <c r="P81" s="161"/>
      <c r="Q81" s="411"/>
      <c r="R81" s="403"/>
      <c r="S81" s="16"/>
      <c r="T81" s="145"/>
      <c r="U81" s="431"/>
      <c r="V81" s="432"/>
    </row>
    <row r="82" spans="1:22" ht="23.25">
      <c r="A82" s="411" t="s">
        <v>266</v>
      </c>
      <c r="B82" s="389"/>
      <c r="C82" s="389"/>
      <c r="D82" s="389"/>
      <c r="E82" s="403"/>
      <c r="F82" s="411">
        <v>441001</v>
      </c>
      <c r="G82" s="403"/>
      <c r="H82" s="416">
        <v>8610</v>
      </c>
      <c r="I82" s="417"/>
      <c r="J82" s="416"/>
      <c r="K82" s="417"/>
      <c r="L82" s="159" t="s">
        <v>273</v>
      </c>
      <c r="M82" s="17"/>
      <c r="N82" s="17"/>
      <c r="O82" s="17"/>
      <c r="P82" s="145"/>
      <c r="Q82" s="411">
        <v>230105</v>
      </c>
      <c r="R82" s="403"/>
      <c r="S82" s="16"/>
      <c r="T82" s="145"/>
      <c r="U82" s="431">
        <v>172.35</v>
      </c>
      <c r="V82" s="432"/>
    </row>
    <row r="83" spans="1:22" ht="23.25">
      <c r="A83" s="418" t="s">
        <v>277</v>
      </c>
      <c r="B83" s="419"/>
      <c r="C83" s="419"/>
      <c r="D83" s="419"/>
      <c r="E83" s="443"/>
      <c r="F83" s="411">
        <v>560000</v>
      </c>
      <c r="G83" s="403"/>
      <c r="H83" s="416">
        <v>40000</v>
      </c>
      <c r="I83" s="417"/>
      <c r="J83" s="416"/>
      <c r="K83" s="417"/>
      <c r="L83" s="16" t="s">
        <v>274</v>
      </c>
      <c r="M83" s="160"/>
      <c r="N83" s="160"/>
      <c r="O83" s="160"/>
      <c r="P83" s="161"/>
      <c r="Q83" s="411">
        <v>230106</v>
      </c>
      <c r="R83" s="403"/>
      <c r="S83" s="16"/>
      <c r="T83" s="145"/>
      <c r="U83" s="431">
        <v>206.82</v>
      </c>
      <c r="V83" s="432"/>
    </row>
    <row r="84" spans="1:22" ht="23.25">
      <c r="A84" s="412" t="s">
        <v>279</v>
      </c>
      <c r="B84" s="413"/>
      <c r="C84" s="413"/>
      <c r="D84" s="413"/>
      <c r="E84" s="399"/>
      <c r="F84" s="411">
        <v>110606</v>
      </c>
      <c r="G84" s="403"/>
      <c r="H84" s="405">
        <v>13500</v>
      </c>
      <c r="I84" s="406"/>
      <c r="J84" s="405"/>
      <c r="K84" s="406"/>
      <c r="L84" s="418" t="s">
        <v>309</v>
      </c>
      <c r="M84" s="419"/>
      <c r="N84" s="419"/>
      <c r="O84" s="419"/>
      <c r="P84" s="443"/>
      <c r="Q84" s="411"/>
      <c r="R84" s="403"/>
      <c r="S84" s="16"/>
      <c r="T84" s="145"/>
      <c r="U84" s="431">
        <v>1000</v>
      </c>
      <c r="V84" s="432"/>
    </row>
    <row r="85" spans="1:22" ht="23.25">
      <c r="A85" s="412" t="s">
        <v>278</v>
      </c>
      <c r="B85" s="413"/>
      <c r="C85" s="413"/>
      <c r="D85" s="413"/>
      <c r="E85" s="399"/>
      <c r="F85" s="411">
        <v>230102</v>
      </c>
      <c r="G85" s="403"/>
      <c r="H85" s="405">
        <v>1497.72</v>
      </c>
      <c r="I85" s="406"/>
      <c r="J85" s="389"/>
      <c r="K85" s="403"/>
      <c r="L85" s="418"/>
      <c r="M85" s="419"/>
      <c r="N85" s="419"/>
      <c r="O85" s="419"/>
      <c r="P85" s="443"/>
      <c r="Q85" s="411"/>
      <c r="R85" s="403"/>
      <c r="S85" s="411"/>
      <c r="T85" s="403"/>
      <c r="U85" s="380"/>
      <c r="V85" s="381"/>
    </row>
    <row r="86" spans="1:22" ht="23.25">
      <c r="A86" s="412"/>
      <c r="B86" s="413"/>
      <c r="C86" s="413"/>
      <c r="D86" s="413"/>
      <c r="E86" s="399"/>
      <c r="F86" s="411"/>
      <c r="G86" s="403"/>
      <c r="H86" s="405"/>
      <c r="I86" s="406"/>
      <c r="J86" s="405"/>
      <c r="K86" s="406"/>
      <c r="L86" s="412"/>
      <c r="M86" s="413"/>
      <c r="N86" s="413"/>
      <c r="O86" s="413"/>
      <c r="P86" s="399"/>
      <c r="Q86" s="412"/>
      <c r="R86" s="399"/>
      <c r="S86" s="431"/>
      <c r="T86" s="432"/>
      <c r="U86" s="442"/>
      <c r="V86" s="399"/>
    </row>
    <row r="87" spans="1:22" ht="23.25">
      <c r="A87" s="412" t="s">
        <v>245</v>
      </c>
      <c r="B87" s="413"/>
      <c r="C87" s="413"/>
      <c r="D87" s="413"/>
      <c r="E87" s="399"/>
      <c r="F87" s="411">
        <v>110203</v>
      </c>
      <c r="G87" s="403"/>
      <c r="H87" s="405"/>
      <c r="I87" s="406"/>
      <c r="J87" s="405">
        <v>828910.78</v>
      </c>
      <c r="K87" s="406"/>
      <c r="L87" s="412"/>
      <c r="M87" s="413"/>
      <c r="N87" s="413"/>
      <c r="O87" s="413"/>
      <c r="P87" s="399"/>
      <c r="Q87" s="412"/>
      <c r="R87" s="399"/>
      <c r="S87" s="412"/>
      <c r="T87" s="399"/>
      <c r="U87" s="412"/>
      <c r="V87" s="399"/>
    </row>
    <row r="88" spans="1:22" ht="23.25">
      <c r="A88" s="159" t="s">
        <v>243</v>
      </c>
      <c r="B88" s="160"/>
      <c r="C88" s="160"/>
      <c r="D88" s="160"/>
      <c r="E88" s="161"/>
      <c r="F88" s="157"/>
      <c r="G88" s="158"/>
      <c r="H88" s="157"/>
      <c r="I88" s="158"/>
      <c r="J88" s="26"/>
      <c r="K88" s="158"/>
      <c r="L88" s="412"/>
      <c r="M88" s="413"/>
      <c r="N88" s="413"/>
      <c r="O88" s="413"/>
      <c r="P88" s="399"/>
      <c r="Q88" s="412"/>
      <c r="R88" s="399"/>
      <c r="S88" s="412"/>
      <c r="T88" s="399"/>
      <c r="U88" s="412"/>
      <c r="V88" s="399"/>
    </row>
    <row r="89" spans="1:22" ht="23.25">
      <c r="A89" s="16" t="s">
        <v>244</v>
      </c>
      <c r="B89" s="17"/>
      <c r="C89" s="17"/>
      <c r="D89" s="17"/>
      <c r="E89" s="145"/>
      <c r="F89" s="411">
        <v>230102</v>
      </c>
      <c r="G89" s="403"/>
      <c r="H89" s="164"/>
      <c r="I89" s="162"/>
      <c r="J89" s="405">
        <v>327.55</v>
      </c>
      <c r="K89" s="406"/>
      <c r="L89" s="412"/>
      <c r="M89" s="413"/>
      <c r="N89" s="413"/>
      <c r="O89" s="413"/>
      <c r="P89" s="399"/>
      <c r="Q89" s="412"/>
      <c r="R89" s="399"/>
      <c r="S89" s="412"/>
      <c r="T89" s="399"/>
      <c r="U89" s="412"/>
      <c r="V89" s="399"/>
    </row>
    <row r="90" spans="1:22" ht="23.25">
      <c r="A90" s="412"/>
      <c r="B90" s="413"/>
      <c r="C90" s="413"/>
      <c r="D90" s="413"/>
      <c r="E90" s="399"/>
      <c r="F90" s="411"/>
      <c r="G90" s="403"/>
      <c r="H90" s="441"/>
      <c r="I90" s="406"/>
      <c r="J90" s="405"/>
      <c r="K90" s="406"/>
      <c r="L90" s="412"/>
      <c r="M90" s="413"/>
      <c r="N90" s="413"/>
      <c r="O90" s="413"/>
      <c r="P90" s="399"/>
      <c r="Q90" s="412"/>
      <c r="R90" s="399"/>
      <c r="S90" s="414"/>
      <c r="T90" s="415"/>
      <c r="U90" s="414"/>
      <c r="V90" s="415"/>
    </row>
    <row r="91" spans="1:22" ht="24" thickBot="1">
      <c r="A91" s="412"/>
      <c r="B91" s="413"/>
      <c r="C91" s="413"/>
      <c r="D91" s="413"/>
      <c r="E91" s="399"/>
      <c r="F91" s="411"/>
      <c r="G91" s="403"/>
      <c r="H91" s="438">
        <f>SUM(H73:H90)</f>
        <v>829238.3300000001</v>
      </c>
      <c r="I91" s="439"/>
      <c r="J91" s="423">
        <f>SUM(J84:J90)</f>
        <v>829238.3300000001</v>
      </c>
      <c r="K91" s="440"/>
      <c r="L91" s="412"/>
      <c r="M91" s="413"/>
      <c r="N91" s="413"/>
      <c r="O91" s="413"/>
      <c r="P91" s="399"/>
      <c r="Q91" s="412"/>
      <c r="R91" s="399"/>
      <c r="S91" s="409">
        <f>SUM(S73:T90)</f>
        <v>1178247.29</v>
      </c>
      <c r="T91" s="410"/>
      <c r="U91" s="423">
        <f>SUM(U77:U90)</f>
        <v>1178247.2900000003</v>
      </c>
      <c r="V91" s="424"/>
    </row>
    <row r="92" spans="1:22" ht="24" thickTop="1">
      <c r="A92" s="146" t="s">
        <v>230</v>
      </c>
      <c r="B92" s="147" t="s">
        <v>231</v>
      </c>
      <c r="C92" s="147"/>
      <c r="D92" s="143"/>
      <c r="E92" s="143"/>
      <c r="F92" s="143"/>
      <c r="G92" s="143"/>
      <c r="H92" s="17"/>
      <c r="I92" s="17"/>
      <c r="J92" s="17"/>
      <c r="K92" s="145"/>
      <c r="L92" s="412"/>
      <c r="M92" s="413"/>
      <c r="N92" s="413"/>
      <c r="O92" s="413"/>
      <c r="P92" s="399"/>
      <c r="Q92" s="412"/>
      <c r="R92" s="399"/>
      <c r="S92" s="412"/>
      <c r="T92" s="399"/>
      <c r="U92" s="412"/>
      <c r="V92" s="399"/>
    </row>
    <row r="93" spans="1:22" ht="23.25">
      <c r="A93" s="411" t="s">
        <v>280</v>
      </c>
      <c r="B93" s="389"/>
      <c r="C93" s="389"/>
      <c r="D93" s="389"/>
      <c r="E93" s="389"/>
      <c r="F93" s="389"/>
      <c r="G93" s="389"/>
      <c r="H93" s="389"/>
      <c r="I93" s="389"/>
      <c r="J93" s="389"/>
      <c r="K93" s="403"/>
      <c r="L93" s="146" t="s">
        <v>230</v>
      </c>
      <c r="M93" s="147" t="s">
        <v>231</v>
      </c>
      <c r="N93" s="147"/>
      <c r="O93" s="143"/>
      <c r="P93" s="143"/>
      <c r="Q93" s="143"/>
      <c r="R93" s="143"/>
      <c r="S93" s="143"/>
      <c r="T93" s="143"/>
      <c r="U93" s="143"/>
      <c r="V93" s="144"/>
    </row>
    <row r="94" spans="1:22" ht="23.2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45"/>
      <c r="L94" s="411" t="s">
        <v>275</v>
      </c>
      <c r="M94" s="389"/>
      <c r="N94" s="389"/>
      <c r="O94" s="389"/>
      <c r="P94" s="389"/>
      <c r="Q94" s="389"/>
      <c r="R94" s="389"/>
      <c r="S94" s="389"/>
      <c r="T94" s="389"/>
      <c r="U94" s="389"/>
      <c r="V94" s="403"/>
    </row>
    <row r="95" spans="1:22" ht="23.25">
      <c r="A95" s="148" t="s">
        <v>177</v>
      </c>
      <c r="B95" s="143"/>
      <c r="C95" s="144"/>
      <c r="D95" s="148" t="s">
        <v>232</v>
      </c>
      <c r="E95" s="143"/>
      <c r="F95" s="143"/>
      <c r="G95" s="144"/>
      <c r="H95" s="147" t="s">
        <v>233</v>
      </c>
      <c r="I95" s="147"/>
      <c r="J95" s="143"/>
      <c r="K95" s="144"/>
      <c r="L95" s="411"/>
      <c r="M95" s="389"/>
      <c r="N95" s="389"/>
      <c r="O95" s="389"/>
      <c r="P95" s="389"/>
      <c r="Q95" s="389"/>
      <c r="R95" s="389"/>
      <c r="S95" s="389"/>
      <c r="T95" s="389"/>
      <c r="U95" s="389"/>
      <c r="V95" s="403"/>
    </row>
    <row r="96" spans="1:22" ht="23.25">
      <c r="A96" s="411"/>
      <c r="B96" s="389"/>
      <c r="C96" s="403"/>
      <c r="D96" s="411"/>
      <c r="E96" s="389"/>
      <c r="F96" s="389"/>
      <c r="G96" s="403"/>
      <c r="H96" s="411"/>
      <c r="I96" s="389"/>
      <c r="J96" s="389"/>
      <c r="K96" s="403"/>
      <c r="L96" s="16"/>
      <c r="M96" s="17"/>
      <c r="N96" s="17"/>
      <c r="O96" s="17"/>
      <c r="P96" s="17"/>
      <c r="Q96" s="17"/>
      <c r="R96" s="17"/>
      <c r="S96" s="17"/>
      <c r="T96" s="17"/>
      <c r="U96" s="17"/>
      <c r="V96" s="145"/>
    </row>
    <row r="97" spans="1:22" ht="23.25">
      <c r="A97" s="149"/>
      <c r="B97" s="150"/>
      <c r="C97" s="151"/>
      <c r="D97" s="149"/>
      <c r="E97" s="150"/>
      <c r="F97" s="150"/>
      <c r="G97" s="151"/>
      <c r="H97" s="150"/>
      <c r="I97" s="150"/>
      <c r="J97" s="150"/>
      <c r="K97" s="151"/>
      <c r="L97" s="448"/>
      <c r="M97" s="449"/>
      <c r="N97" s="449"/>
      <c r="O97" s="449"/>
      <c r="P97" s="449"/>
      <c r="Q97" s="449"/>
      <c r="R97" s="449"/>
      <c r="S97" s="449"/>
      <c r="T97" s="449"/>
      <c r="U97" s="449"/>
      <c r="V97" s="144"/>
    </row>
    <row r="98" spans="1:22" ht="23.25">
      <c r="A98" s="12"/>
      <c r="B98" s="12"/>
      <c r="C98" s="12"/>
      <c r="D98" s="11"/>
      <c r="E98" s="11"/>
      <c r="F98" s="11"/>
      <c r="G98" s="11"/>
      <c r="H98" s="11"/>
      <c r="I98" s="11"/>
      <c r="J98" s="11"/>
      <c r="L98" s="450"/>
      <c r="M98" s="404"/>
      <c r="N98" s="404"/>
      <c r="O98" s="404"/>
      <c r="P98" s="404"/>
      <c r="Q98" s="404"/>
      <c r="R98" s="404"/>
      <c r="S98" s="404"/>
      <c r="T98" s="404"/>
      <c r="U98" s="404"/>
      <c r="V98" s="158"/>
    </row>
    <row r="99" spans="1:10" ht="23.25">
      <c r="A99" s="11"/>
      <c r="B99" s="11"/>
      <c r="C99" s="11"/>
      <c r="D99" s="11"/>
      <c r="E99" s="11"/>
      <c r="F99" s="11"/>
      <c r="G99" s="11"/>
      <c r="H99" s="11"/>
      <c r="I99" s="425"/>
      <c r="J99" s="425"/>
    </row>
    <row r="100" spans="1:10" ht="23.25">
      <c r="A100" s="11"/>
      <c r="B100" s="11"/>
      <c r="C100" s="11"/>
      <c r="D100" s="11"/>
      <c r="E100" s="11"/>
      <c r="F100" s="11"/>
      <c r="G100" s="11"/>
      <c r="H100" s="11"/>
      <c r="I100" s="425" t="s">
        <v>282</v>
      </c>
      <c r="J100" s="425"/>
    </row>
    <row r="101" spans="1:10" ht="26.25">
      <c r="A101" s="311" t="s">
        <v>338</v>
      </c>
      <c r="B101" s="311"/>
      <c r="C101" s="311"/>
      <c r="D101" s="311"/>
      <c r="E101" s="311"/>
      <c r="F101" s="311"/>
      <c r="G101" s="311"/>
      <c r="H101" s="311"/>
      <c r="I101" s="311"/>
      <c r="J101" s="311"/>
    </row>
    <row r="102" spans="1:10" ht="23.25">
      <c r="A102" s="435" t="s">
        <v>228</v>
      </c>
      <c r="B102" s="435"/>
      <c r="C102" s="435"/>
      <c r="D102" s="11"/>
      <c r="E102" s="11"/>
      <c r="F102" s="11"/>
      <c r="G102" s="11"/>
      <c r="H102" s="11"/>
      <c r="I102" s="11"/>
      <c r="J102" s="11"/>
    </row>
    <row r="103" spans="1:10" ht="23.25">
      <c r="A103" s="436" t="s">
        <v>2</v>
      </c>
      <c r="B103" s="436"/>
      <c r="C103" s="436"/>
      <c r="D103" s="436"/>
      <c r="E103" s="436"/>
      <c r="F103" s="437" t="s">
        <v>3</v>
      </c>
      <c r="G103" s="436"/>
      <c r="H103" s="436" t="s">
        <v>234</v>
      </c>
      <c r="I103" s="436"/>
      <c r="J103" s="163" t="s">
        <v>235</v>
      </c>
    </row>
    <row r="104" spans="1:10" ht="23.25">
      <c r="A104" s="426" t="s">
        <v>250</v>
      </c>
      <c r="B104" s="427"/>
      <c r="C104" s="427"/>
      <c r="D104" s="427"/>
      <c r="E104" s="428"/>
      <c r="F104" s="420">
        <v>110203</v>
      </c>
      <c r="G104" s="421"/>
      <c r="H104" s="429">
        <v>828910.78</v>
      </c>
      <c r="I104" s="430"/>
      <c r="J104" s="182"/>
    </row>
    <row r="105" spans="1:10" ht="23.25">
      <c r="A105" s="412" t="s">
        <v>251</v>
      </c>
      <c r="B105" s="413"/>
      <c r="C105" s="413"/>
      <c r="D105" s="413"/>
      <c r="E105" s="399"/>
      <c r="F105" s="412"/>
      <c r="G105" s="399"/>
      <c r="H105" s="412"/>
      <c r="I105" s="399"/>
      <c r="J105" s="183"/>
    </row>
    <row r="106" spans="1:10" ht="23.25">
      <c r="A106" s="412" t="s">
        <v>252</v>
      </c>
      <c r="B106" s="413"/>
      <c r="C106" s="413"/>
      <c r="D106" s="413"/>
      <c r="E106" s="399"/>
      <c r="F106" s="411">
        <v>110201</v>
      </c>
      <c r="G106" s="403"/>
      <c r="H106" s="413"/>
      <c r="I106" s="399"/>
      <c r="J106" s="184">
        <v>828910.78</v>
      </c>
    </row>
    <row r="107" spans="1:10" ht="23.25">
      <c r="A107" s="412" t="s">
        <v>253</v>
      </c>
      <c r="B107" s="413"/>
      <c r="C107" s="413"/>
      <c r="D107" s="413"/>
      <c r="E107" s="399"/>
      <c r="F107" s="412"/>
      <c r="G107" s="399"/>
      <c r="H107" s="422"/>
      <c r="I107" s="399"/>
      <c r="J107" s="185"/>
    </row>
    <row r="108" spans="1:10" ht="24" thickBot="1">
      <c r="A108" s="412"/>
      <c r="B108" s="413"/>
      <c r="C108" s="413"/>
      <c r="D108" s="413"/>
      <c r="E108" s="399"/>
      <c r="F108" s="412"/>
      <c r="G108" s="399"/>
      <c r="H108" s="423">
        <f>SUM(H104:I107)</f>
        <v>828910.78</v>
      </c>
      <c r="I108" s="424"/>
      <c r="J108" s="186">
        <f>SUM(J106:J107)</f>
        <v>828910.78</v>
      </c>
    </row>
    <row r="109" spans="1:10" ht="24" thickTop="1">
      <c r="A109" s="412"/>
      <c r="B109" s="413"/>
      <c r="C109" s="413"/>
      <c r="D109" s="413"/>
      <c r="E109" s="399"/>
      <c r="F109" s="412"/>
      <c r="G109" s="399"/>
      <c r="H109" s="412"/>
      <c r="I109" s="399"/>
      <c r="J109" s="183"/>
    </row>
    <row r="110" spans="1:10" ht="23.25">
      <c r="A110" s="412"/>
      <c r="B110" s="413"/>
      <c r="C110" s="413"/>
      <c r="D110" s="413"/>
      <c r="E110" s="399"/>
      <c r="F110" s="412"/>
      <c r="G110" s="399"/>
      <c r="H110" s="412"/>
      <c r="I110" s="399"/>
      <c r="J110" s="183"/>
    </row>
    <row r="111" spans="1:10" ht="23.25">
      <c r="A111" s="412"/>
      <c r="B111" s="413"/>
      <c r="C111" s="413"/>
      <c r="D111" s="413"/>
      <c r="E111" s="399"/>
      <c r="F111" s="412"/>
      <c r="G111" s="399"/>
      <c r="H111" s="412"/>
      <c r="I111" s="399"/>
      <c r="J111" s="183"/>
    </row>
    <row r="112" spans="1:10" ht="23.25">
      <c r="A112" s="412"/>
      <c r="B112" s="413"/>
      <c r="C112" s="413"/>
      <c r="D112" s="413"/>
      <c r="E112" s="399"/>
      <c r="F112" s="412"/>
      <c r="G112" s="399"/>
      <c r="H112" s="412"/>
      <c r="I112" s="399"/>
      <c r="J112" s="183"/>
    </row>
    <row r="113" spans="1:10" ht="23.25">
      <c r="A113" s="412"/>
      <c r="B113" s="413"/>
      <c r="C113" s="413"/>
      <c r="D113" s="413"/>
      <c r="E113" s="399"/>
      <c r="F113" s="412"/>
      <c r="G113" s="399"/>
      <c r="H113" s="412"/>
      <c r="I113" s="399"/>
      <c r="J113" s="183"/>
    </row>
    <row r="114" spans="1:10" ht="23.25">
      <c r="A114" s="412"/>
      <c r="B114" s="413"/>
      <c r="C114" s="413"/>
      <c r="D114" s="413"/>
      <c r="E114" s="399"/>
      <c r="F114" s="412"/>
      <c r="G114" s="399"/>
      <c r="H114" s="412"/>
      <c r="I114" s="399"/>
      <c r="J114" s="183"/>
    </row>
    <row r="115" spans="1:10" ht="23.25">
      <c r="A115" s="412"/>
      <c r="B115" s="413"/>
      <c r="C115" s="413"/>
      <c r="D115" s="413"/>
      <c r="E115" s="399"/>
      <c r="F115" s="412"/>
      <c r="G115" s="399"/>
      <c r="H115" s="412"/>
      <c r="I115" s="399"/>
      <c r="J115" s="183"/>
    </row>
    <row r="116" spans="1:10" ht="23.25">
      <c r="A116" s="412"/>
      <c r="B116" s="413"/>
      <c r="C116" s="413"/>
      <c r="D116" s="413"/>
      <c r="E116" s="399"/>
      <c r="F116" s="412"/>
      <c r="G116" s="399"/>
      <c r="H116" s="412"/>
      <c r="I116" s="399"/>
      <c r="J116" s="183"/>
    </row>
    <row r="117" spans="1:10" ht="23.25">
      <c r="A117" s="412"/>
      <c r="B117" s="413"/>
      <c r="C117" s="413"/>
      <c r="D117" s="413"/>
      <c r="E117" s="399"/>
      <c r="F117" s="412"/>
      <c r="G117" s="399"/>
      <c r="H117" s="412"/>
      <c r="I117" s="399"/>
      <c r="J117" s="183"/>
    </row>
    <row r="118" spans="1:10" ht="23.25">
      <c r="A118" s="412"/>
      <c r="B118" s="413"/>
      <c r="C118" s="413"/>
      <c r="D118" s="413"/>
      <c r="E118" s="399"/>
      <c r="F118" s="412"/>
      <c r="G118" s="399"/>
      <c r="H118" s="412"/>
      <c r="I118" s="399"/>
      <c r="J118" s="183"/>
    </row>
    <row r="119" spans="1:10" ht="23.25">
      <c r="A119" s="412"/>
      <c r="B119" s="413"/>
      <c r="C119" s="413"/>
      <c r="D119" s="413"/>
      <c r="E119" s="399"/>
      <c r="F119" s="412"/>
      <c r="G119" s="399"/>
      <c r="H119" s="412"/>
      <c r="I119" s="399"/>
      <c r="J119" s="183"/>
    </row>
    <row r="120" spans="1:10" ht="23.25">
      <c r="A120" s="412"/>
      <c r="B120" s="413"/>
      <c r="C120" s="413"/>
      <c r="D120" s="413"/>
      <c r="E120" s="399"/>
      <c r="F120" s="412"/>
      <c r="G120" s="399"/>
      <c r="H120" s="412"/>
      <c r="I120" s="399"/>
      <c r="J120" s="183"/>
    </row>
    <row r="121" spans="1:10" ht="23.25">
      <c r="A121" s="412"/>
      <c r="B121" s="413"/>
      <c r="C121" s="413"/>
      <c r="D121" s="413"/>
      <c r="E121" s="399"/>
      <c r="F121" s="412"/>
      <c r="G121" s="399"/>
      <c r="H121" s="412"/>
      <c r="I121" s="399"/>
      <c r="J121" s="183"/>
    </row>
    <row r="122" spans="1:10" ht="23.25">
      <c r="A122" s="414"/>
      <c r="B122" s="400"/>
      <c r="C122" s="400"/>
      <c r="D122" s="400"/>
      <c r="E122" s="415"/>
      <c r="F122" s="414"/>
      <c r="G122" s="415"/>
      <c r="H122" s="414"/>
      <c r="I122" s="415"/>
      <c r="J122" s="187"/>
    </row>
    <row r="123" spans="1:10" ht="23.25">
      <c r="A123" s="146" t="s">
        <v>230</v>
      </c>
      <c r="B123" s="147" t="s">
        <v>231</v>
      </c>
      <c r="C123" s="147"/>
      <c r="D123" s="143"/>
      <c r="E123" s="143"/>
      <c r="F123" s="143"/>
      <c r="G123" s="143"/>
      <c r="H123" s="143"/>
      <c r="I123" s="143"/>
      <c r="J123" s="143"/>
    </row>
    <row r="124" spans="1:12" ht="23.25">
      <c r="A124" s="418" t="s">
        <v>248</v>
      </c>
      <c r="B124" s="419"/>
      <c r="C124" s="419"/>
      <c r="D124" s="419"/>
      <c r="E124" s="419"/>
      <c r="F124" s="419"/>
      <c r="G124" s="419"/>
      <c r="H124" s="419"/>
      <c r="I124" s="419"/>
      <c r="J124" s="419"/>
      <c r="L124" s="156"/>
    </row>
    <row r="125" spans="1:10" ht="23.25">
      <c r="A125" s="411" t="s">
        <v>305</v>
      </c>
      <c r="B125" s="389"/>
      <c r="C125" s="389"/>
      <c r="D125" s="389"/>
      <c r="E125" s="389"/>
      <c r="F125" s="389"/>
      <c r="G125" s="389"/>
      <c r="H125" s="389"/>
      <c r="I125" s="389"/>
      <c r="J125" s="389"/>
    </row>
    <row r="126" spans="1:10" ht="23.25">
      <c r="A126" s="148" t="s">
        <v>301</v>
      </c>
      <c r="B126" s="143"/>
      <c r="C126" s="143"/>
      <c r="D126" s="147"/>
      <c r="E126" s="147" t="s">
        <v>232</v>
      </c>
      <c r="F126" s="143"/>
      <c r="G126" s="143"/>
      <c r="H126" s="147" t="s">
        <v>302</v>
      </c>
      <c r="I126" s="147"/>
      <c r="J126" s="144"/>
    </row>
    <row r="127" spans="1:10" ht="23.25">
      <c r="A127" s="411"/>
      <c r="B127" s="389"/>
      <c r="C127" s="389"/>
      <c r="D127" s="389"/>
      <c r="E127" s="389"/>
      <c r="F127" s="389"/>
      <c r="G127" s="389"/>
      <c r="H127" s="389"/>
      <c r="I127" s="389"/>
      <c r="J127" s="403"/>
    </row>
    <row r="128" spans="1:10" ht="23.25">
      <c r="A128" s="149"/>
      <c r="B128" s="150"/>
      <c r="C128" s="150"/>
      <c r="D128" s="150"/>
      <c r="E128" s="150"/>
      <c r="F128" s="150"/>
      <c r="G128" s="150"/>
      <c r="H128" s="150"/>
      <c r="I128" s="150"/>
      <c r="J128" s="151"/>
    </row>
  </sheetData>
  <sheetProtection/>
  <mergeCells count="490">
    <mergeCell ref="L97:U97"/>
    <mergeCell ref="L98:U98"/>
    <mergeCell ref="L92:P92"/>
    <mergeCell ref="Q92:R92"/>
    <mergeCell ref="S92:T92"/>
    <mergeCell ref="U92:V92"/>
    <mergeCell ref="L94:V94"/>
    <mergeCell ref="L95:V95"/>
    <mergeCell ref="L90:P90"/>
    <mergeCell ref="Q90:R90"/>
    <mergeCell ref="S90:T90"/>
    <mergeCell ref="U90:V90"/>
    <mergeCell ref="L91:P91"/>
    <mergeCell ref="Q91:R91"/>
    <mergeCell ref="S91:T91"/>
    <mergeCell ref="U91:V91"/>
    <mergeCell ref="L88:P88"/>
    <mergeCell ref="Q88:R88"/>
    <mergeCell ref="S88:T88"/>
    <mergeCell ref="U88:V88"/>
    <mergeCell ref="L89:P89"/>
    <mergeCell ref="Q89:R89"/>
    <mergeCell ref="S89:T89"/>
    <mergeCell ref="U89:V89"/>
    <mergeCell ref="L86:P86"/>
    <mergeCell ref="Q86:R86"/>
    <mergeCell ref="S86:T86"/>
    <mergeCell ref="U86:V86"/>
    <mergeCell ref="L87:P87"/>
    <mergeCell ref="Q87:R87"/>
    <mergeCell ref="S87:T87"/>
    <mergeCell ref="U87:V87"/>
    <mergeCell ref="L84:P84"/>
    <mergeCell ref="Q84:R84"/>
    <mergeCell ref="U84:V84"/>
    <mergeCell ref="L85:P85"/>
    <mergeCell ref="Q85:R85"/>
    <mergeCell ref="S85:T85"/>
    <mergeCell ref="U85:V85"/>
    <mergeCell ref="Q81:R81"/>
    <mergeCell ref="U81:V81"/>
    <mergeCell ref="Q82:R82"/>
    <mergeCell ref="U82:V82"/>
    <mergeCell ref="Q83:R83"/>
    <mergeCell ref="U83:V83"/>
    <mergeCell ref="Q77:R77"/>
    <mergeCell ref="S77:T77"/>
    <mergeCell ref="Q79:R79"/>
    <mergeCell ref="U79:V79"/>
    <mergeCell ref="L80:P80"/>
    <mergeCell ref="Q80:R80"/>
    <mergeCell ref="U80:V80"/>
    <mergeCell ref="Q75:R75"/>
    <mergeCell ref="S75:T75"/>
    <mergeCell ref="U75:V75"/>
    <mergeCell ref="U76:V76"/>
    <mergeCell ref="Q73:R73"/>
    <mergeCell ref="S73:T73"/>
    <mergeCell ref="U73:V73"/>
    <mergeCell ref="L74:P74"/>
    <mergeCell ref="Q74:R74"/>
    <mergeCell ref="S74:T74"/>
    <mergeCell ref="U74:V74"/>
    <mergeCell ref="U68:V68"/>
    <mergeCell ref="U69:V69"/>
    <mergeCell ref="L70:V70"/>
    <mergeCell ref="L72:P72"/>
    <mergeCell ref="Q72:R72"/>
    <mergeCell ref="S72:T72"/>
    <mergeCell ref="U72:V72"/>
    <mergeCell ref="A122:E122"/>
    <mergeCell ref="F122:G122"/>
    <mergeCell ref="H122:I122"/>
    <mergeCell ref="A124:J124"/>
    <mergeCell ref="A125:J125"/>
    <mergeCell ref="A118:E118"/>
    <mergeCell ref="F118:G118"/>
    <mergeCell ref="H118:I118"/>
    <mergeCell ref="A119:E119"/>
    <mergeCell ref="A127:C127"/>
    <mergeCell ref="D127:G127"/>
    <mergeCell ref="H127:J127"/>
    <mergeCell ref="A120:E120"/>
    <mergeCell ref="F120:G120"/>
    <mergeCell ref="H120:I120"/>
    <mergeCell ref="A121:E121"/>
    <mergeCell ref="F121:G121"/>
    <mergeCell ref="H121:I121"/>
    <mergeCell ref="F119:G119"/>
    <mergeCell ref="H119:I119"/>
    <mergeCell ref="A116:E116"/>
    <mergeCell ref="F116:G116"/>
    <mergeCell ref="H116:I116"/>
    <mergeCell ref="A117:E117"/>
    <mergeCell ref="F117:G117"/>
    <mergeCell ref="H117:I117"/>
    <mergeCell ref="A114:E114"/>
    <mergeCell ref="F114:G114"/>
    <mergeCell ref="H114:I114"/>
    <mergeCell ref="A115:E115"/>
    <mergeCell ref="F115:G115"/>
    <mergeCell ref="H115:I115"/>
    <mergeCell ref="A112:E112"/>
    <mergeCell ref="F112:G112"/>
    <mergeCell ref="H112:I112"/>
    <mergeCell ref="A113:E113"/>
    <mergeCell ref="F113:G113"/>
    <mergeCell ref="H113:I113"/>
    <mergeCell ref="A110:E110"/>
    <mergeCell ref="F110:G110"/>
    <mergeCell ref="H110:I110"/>
    <mergeCell ref="A111:E111"/>
    <mergeCell ref="F111:G111"/>
    <mergeCell ref="H111:I111"/>
    <mergeCell ref="A108:E108"/>
    <mergeCell ref="F108:G108"/>
    <mergeCell ref="H108:I108"/>
    <mergeCell ref="A109:E109"/>
    <mergeCell ref="F109:G109"/>
    <mergeCell ref="H109:I109"/>
    <mergeCell ref="A106:E106"/>
    <mergeCell ref="F106:G106"/>
    <mergeCell ref="H106:I106"/>
    <mergeCell ref="A107:E107"/>
    <mergeCell ref="F107:G107"/>
    <mergeCell ref="H107:I107"/>
    <mergeCell ref="Q17:R17"/>
    <mergeCell ref="S17:T17"/>
    <mergeCell ref="L64:N64"/>
    <mergeCell ref="O64:R64"/>
    <mergeCell ref="S64:U64"/>
    <mergeCell ref="I99:J99"/>
    <mergeCell ref="H44:I44"/>
    <mergeCell ref="J42:K42"/>
    <mergeCell ref="Q25:R25"/>
    <mergeCell ref="S23:T23"/>
    <mergeCell ref="J43:K43"/>
    <mergeCell ref="Q26:R26"/>
    <mergeCell ref="S26:T26"/>
    <mergeCell ref="A37:K37"/>
    <mergeCell ref="A39:E39"/>
    <mergeCell ref="F39:G39"/>
    <mergeCell ref="H39:I39"/>
    <mergeCell ref="L41:P41"/>
    <mergeCell ref="Q41:R41"/>
    <mergeCell ref="S41:T41"/>
    <mergeCell ref="S25:T25"/>
    <mergeCell ref="Q23:R23"/>
    <mergeCell ref="J18:K18"/>
    <mergeCell ref="A18:E18"/>
    <mergeCell ref="A19:E19"/>
    <mergeCell ref="F19:G19"/>
    <mergeCell ref="H19:I19"/>
    <mergeCell ref="J19:K19"/>
    <mergeCell ref="J25:K25"/>
    <mergeCell ref="Q19:R19"/>
    <mergeCell ref="H18:I18"/>
    <mergeCell ref="F44:G44"/>
    <mergeCell ref="A25:E25"/>
    <mergeCell ref="A20:E20"/>
    <mergeCell ref="A21:E21"/>
    <mergeCell ref="F22:G22"/>
    <mergeCell ref="F24:G24"/>
    <mergeCell ref="F25:G25"/>
    <mergeCell ref="J52:K52"/>
    <mergeCell ref="A84:E84"/>
    <mergeCell ref="F84:G84"/>
    <mergeCell ref="H84:I84"/>
    <mergeCell ref="H56:I56"/>
    <mergeCell ref="F77:G77"/>
    <mergeCell ref="A83:E83"/>
    <mergeCell ref="A81:E81"/>
    <mergeCell ref="F81:G81"/>
    <mergeCell ref="A70:K70"/>
    <mergeCell ref="J51:K51"/>
    <mergeCell ref="A51:E51"/>
    <mergeCell ref="J47:K47"/>
    <mergeCell ref="F46:G46"/>
    <mergeCell ref="J46:K46"/>
    <mergeCell ref="A47:E47"/>
    <mergeCell ref="J49:K49"/>
    <mergeCell ref="J48:K48"/>
    <mergeCell ref="F49:G49"/>
    <mergeCell ref="F48:G48"/>
    <mergeCell ref="J7:K7"/>
    <mergeCell ref="H7:I7"/>
    <mergeCell ref="F7:G7"/>
    <mergeCell ref="A7:E7"/>
    <mergeCell ref="A41:E41"/>
    <mergeCell ref="F41:G41"/>
    <mergeCell ref="H41:I41"/>
    <mergeCell ref="J41:K41"/>
    <mergeCell ref="A14:E14"/>
    <mergeCell ref="A15:E15"/>
    <mergeCell ref="A16:E16"/>
    <mergeCell ref="A17:E17"/>
    <mergeCell ref="H40:I40"/>
    <mergeCell ref="J40:K40"/>
    <mergeCell ref="A23:E23"/>
    <mergeCell ref="A24:E24"/>
    <mergeCell ref="F40:G40"/>
    <mergeCell ref="A22:E22"/>
    <mergeCell ref="F21:G21"/>
    <mergeCell ref="F23:G23"/>
    <mergeCell ref="A8:E8"/>
    <mergeCell ref="A9:E9"/>
    <mergeCell ref="A10:E10"/>
    <mergeCell ref="A11:E11"/>
    <mergeCell ref="A12:E12"/>
    <mergeCell ref="A13:E13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20:G20"/>
    <mergeCell ref="F18:G18"/>
    <mergeCell ref="J15:K15"/>
    <mergeCell ref="H22:I22"/>
    <mergeCell ref="H23:I23"/>
    <mergeCell ref="H24:I24"/>
    <mergeCell ref="H8:I8"/>
    <mergeCell ref="H9:I9"/>
    <mergeCell ref="H10:I10"/>
    <mergeCell ref="H11:I11"/>
    <mergeCell ref="H12:I12"/>
    <mergeCell ref="H13:I13"/>
    <mergeCell ref="J10:K10"/>
    <mergeCell ref="J11:K11"/>
    <mergeCell ref="J12:K12"/>
    <mergeCell ref="J13:K13"/>
    <mergeCell ref="H25:I25"/>
    <mergeCell ref="H16:I16"/>
    <mergeCell ref="H17:I17"/>
    <mergeCell ref="H20:I20"/>
    <mergeCell ref="H21:I21"/>
    <mergeCell ref="J14:K14"/>
    <mergeCell ref="J16:K16"/>
    <mergeCell ref="J17:K17"/>
    <mergeCell ref="J20:K20"/>
    <mergeCell ref="J21:K21"/>
    <mergeCell ref="A5:K5"/>
    <mergeCell ref="H14:I14"/>
    <mergeCell ref="H15:I15"/>
    <mergeCell ref="J8:K8"/>
    <mergeCell ref="J9:K9"/>
    <mergeCell ref="A6:C6"/>
    <mergeCell ref="F50:G50"/>
    <mergeCell ref="F51:G51"/>
    <mergeCell ref="F52:G52"/>
    <mergeCell ref="H53:I53"/>
    <mergeCell ref="J39:K39"/>
    <mergeCell ref="J22:K22"/>
    <mergeCell ref="J23:K23"/>
    <mergeCell ref="J24:K24"/>
    <mergeCell ref="J35:K35"/>
    <mergeCell ref="J36:K36"/>
    <mergeCell ref="S19:T19"/>
    <mergeCell ref="A59:E59"/>
    <mergeCell ref="A54:E54"/>
    <mergeCell ref="H87:I87"/>
    <mergeCell ref="A56:E56"/>
    <mergeCell ref="F56:G56"/>
    <mergeCell ref="F58:G58"/>
    <mergeCell ref="A75:E75"/>
    <mergeCell ref="F75:G75"/>
    <mergeCell ref="A77:E77"/>
    <mergeCell ref="J72:K72"/>
    <mergeCell ref="A76:E76"/>
    <mergeCell ref="F76:G76"/>
    <mergeCell ref="H76:I76"/>
    <mergeCell ref="A73:E73"/>
    <mergeCell ref="A74:E74"/>
    <mergeCell ref="Q20:R20"/>
    <mergeCell ref="Q21:R21"/>
    <mergeCell ref="F83:G83"/>
    <mergeCell ref="A62:K62"/>
    <mergeCell ref="A53:E53"/>
    <mergeCell ref="A72:E72"/>
    <mergeCell ref="A79:E79"/>
    <mergeCell ref="F72:G72"/>
    <mergeCell ref="F57:G57"/>
    <mergeCell ref="F80:G80"/>
    <mergeCell ref="S20:T20"/>
    <mergeCell ref="S21:T21"/>
    <mergeCell ref="F86:G86"/>
    <mergeCell ref="H86:I86"/>
    <mergeCell ref="A87:E87"/>
    <mergeCell ref="A90:E90"/>
    <mergeCell ref="F87:G87"/>
    <mergeCell ref="Q22:R22"/>
    <mergeCell ref="J59:K59"/>
    <mergeCell ref="A61:K61"/>
    <mergeCell ref="I4:K4"/>
    <mergeCell ref="I3:K3"/>
    <mergeCell ref="A27:K27"/>
    <mergeCell ref="A28:K28"/>
    <mergeCell ref="F47:G47"/>
    <mergeCell ref="A52:E52"/>
    <mergeCell ref="F42:G42"/>
    <mergeCell ref="H42:I42"/>
    <mergeCell ref="H52:I52"/>
    <mergeCell ref="J50:K50"/>
    <mergeCell ref="S22:T22"/>
    <mergeCell ref="H83:I83"/>
    <mergeCell ref="J68:K68"/>
    <mergeCell ref="J76:K76"/>
    <mergeCell ref="F79:G79"/>
    <mergeCell ref="F55:G55"/>
    <mergeCell ref="J53:K53"/>
    <mergeCell ref="H55:I55"/>
    <mergeCell ref="J55:K55"/>
    <mergeCell ref="H54:I54"/>
    <mergeCell ref="F54:G54"/>
    <mergeCell ref="F53:G53"/>
    <mergeCell ref="J54:K54"/>
    <mergeCell ref="A57:E57"/>
    <mergeCell ref="J56:K56"/>
    <mergeCell ref="A55:E55"/>
    <mergeCell ref="A58:E58"/>
    <mergeCell ref="H74:I74"/>
    <mergeCell ref="H77:I77"/>
    <mergeCell ref="J77:K77"/>
    <mergeCell ref="H75:I75"/>
    <mergeCell ref="J75:K75"/>
    <mergeCell ref="J74:K74"/>
    <mergeCell ref="J58:K58"/>
    <mergeCell ref="H72:I72"/>
    <mergeCell ref="J69:K69"/>
    <mergeCell ref="A78:E78"/>
    <mergeCell ref="H78:I78"/>
    <mergeCell ref="J78:K78"/>
    <mergeCell ref="F78:G78"/>
    <mergeCell ref="F74:G74"/>
    <mergeCell ref="H81:I81"/>
    <mergeCell ref="J81:K81"/>
    <mergeCell ref="H79:I79"/>
    <mergeCell ref="J79:K79"/>
    <mergeCell ref="A80:E80"/>
    <mergeCell ref="J83:K83"/>
    <mergeCell ref="A85:E85"/>
    <mergeCell ref="A86:E86"/>
    <mergeCell ref="F90:G90"/>
    <mergeCell ref="H90:I90"/>
    <mergeCell ref="J90:K90"/>
    <mergeCell ref="J89:K89"/>
    <mergeCell ref="F89:G89"/>
    <mergeCell ref="J87:K87"/>
    <mergeCell ref="J86:K86"/>
    <mergeCell ref="I100:J100"/>
    <mergeCell ref="S6:T6"/>
    <mergeCell ref="A91:E91"/>
    <mergeCell ref="F91:G91"/>
    <mergeCell ref="H91:I91"/>
    <mergeCell ref="L6:P6"/>
    <mergeCell ref="Q6:R6"/>
    <mergeCell ref="J91:K91"/>
    <mergeCell ref="A93:K93"/>
    <mergeCell ref="T36:U36"/>
    <mergeCell ref="A96:C96"/>
    <mergeCell ref="D96:G96"/>
    <mergeCell ref="H96:K96"/>
    <mergeCell ref="L4:U4"/>
    <mergeCell ref="S10:T10"/>
    <mergeCell ref="Q7:R7"/>
    <mergeCell ref="S7:T7"/>
    <mergeCell ref="Q8:R8"/>
    <mergeCell ref="S8:T8"/>
    <mergeCell ref="Q24:R24"/>
    <mergeCell ref="A101:J101"/>
    <mergeCell ref="Q11:R11"/>
    <mergeCell ref="S11:T11"/>
    <mergeCell ref="Q9:R9"/>
    <mergeCell ref="S9:T9"/>
    <mergeCell ref="Q10:R10"/>
    <mergeCell ref="Q16:R16"/>
    <mergeCell ref="S16:T16"/>
    <mergeCell ref="Q40:R40"/>
    <mergeCell ref="S40:T40"/>
    <mergeCell ref="A102:C102"/>
    <mergeCell ref="Q12:R12"/>
    <mergeCell ref="S12:T12"/>
    <mergeCell ref="Q13:R13"/>
    <mergeCell ref="S13:T13"/>
    <mergeCell ref="A103:E103"/>
    <mergeCell ref="F103:G103"/>
    <mergeCell ref="H103:I103"/>
    <mergeCell ref="Q15:R15"/>
    <mergeCell ref="S15:T15"/>
    <mergeCell ref="A104:E104"/>
    <mergeCell ref="F104:G104"/>
    <mergeCell ref="H104:I104"/>
    <mergeCell ref="Q18:R18"/>
    <mergeCell ref="S18:T18"/>
    <mergeCell ref="Q27:R27"/>
    <mergeCell ref="S27:T27"/>
    <mergeCell ref="S24:T24"/>
    <mergeCell ref="L39:N39"/>
    <mergeCell ref="L40:P40"/>
    <mergeCell ref="A105:E105"/>
    <mergeCell ref="F105:G105"/>
    <mergeCell ref="H105:I105"/>
    <mergeCell ref="L29:U29"/>
    <mergeCell ref="L30:U30"/>
    <mergeCell ref="L32:N32"/>
    <mergeCell ref="O32:R32"/>
    <mergeCell ref="S32:U32"/>
    <mergeCell ref="T37:U37"/>
    <mergeCell ref="L38:U38"/>
    <mergeCell ref="L42:P42"/>
    <mergeCell ref="Q42:R42"/>
    <mergeCell ref="S42:T42"/>
    <mergeCell ref="L43:P43"/>
    <mergeCell ref="Q43:R43"/>
    <mergeCell ref="S43:T43"/>
    <mergeCell ref="L44:P44"/>
    <mergeCell ref="Q44:R44"/>
    <mergeCell ref="S44:T44"/>
    <mergeCell ref="L45:P45"/>
    <mergeCell ref="Q45:R45"/>
    <mergeCell ref="S45:T45"/>
    <mergeCell ref="L46:P46"/>
    <mergeCell ref="Q46:R46"/>
    <mergeCell ref="S46:T46"/>
    <mergeCell ref="L47:P47"/>
    <mergeCell ref="Q47:R47"/>
    <mergeCell ref="S47:T47"/>
    <mergeCell ref="L48:P48"/>
    <mergeCell ref="Q48:R48"/>
    <mergeCell ref="S48:T48"/>
    <mergeCell ref="L49:P49"/>
    <mergeCell ref="Q49:R49"/>
    <mergeCell ref="S49:T49"/>
    <mergeCell ref="L50:P50"/>
    <mergeCell ref="Q50:R50"/>
    <mergeCell ref="S50:T50"/>
    <mergeCell ref="Q56:R56"/>
    <mergeCell ref="L55:P55"/>
    <mergeCell ref="S54:T54"/>
    <mergeCell ref="L51:P51"/>
    <mergeCell ref="Q51:R51"/>
    <mergeCell ref="S51:T51"/>
    <mergeCell ref="L52:P52"/>
    <mergeCell ref="Q52:R52"/>
    <mergeCell ref="S52:T52"/>
    <mergeCell ref="Q59:R59"/>
    <mergeCell ref="S59:T59"/>
    <mergeCell ref="S58:T58"/>
    <mergeCell ref="S56:T56"/>
    <mergeCell ref="L53:P53"/>
    <mergeCell ref="Q53:R53"/>
    <mergeCell ref="S53:T53"/>
    <mergeCell ref="L54:P54"/>
    <mergeCell ref="Q54:R54"/>
    <mergeCell ref="L56:P56"/>
    <mergeCell ref="F85:G85"/>
    <mergeCell ref="H85:I85"/>
    <mergeCell ref="H57:I57"/>
    <mergeCell ref="J57:K57"/>
    <mergeCell ref="F59:G59"/>
    <mergeCell ref="H59:I59"/>
    <mergeCell ref="F73:G73"/>
    <mergeCell ref="H73:I73"/>
    <mergeCell ref="H80:I80"/>
    <mergeCell ref="J80:K80"/>
    <mergeCell ref="A82:E82"/>
    <mergeCell ref="F82:G82"/>
    <mergeCell ref="H82:I82"/>
    <mergeCell ref="J82:K82"/>
    <mergeCell ref="Q55:R55"/>
    <mergeCell ref="S55:T55"/>
    <mergeCell ref="L61:U61"/>
    <mergeCell ref="L62:U62"/>
    <mergeCell ref="L57:P57"/>
    <mergeCell ref="Q57:R57"/>
    <mergeCell ref="J84:K84"/>
    <mergeCell ref="J85:K85"/>
    <mergeCell ref="J73:K73"/>
    <mergeCell ref="H58:I58"/>
    <mergeCell ref="Q14:R14"/>
    <mergeCell ref="S14:T14"/>
    <mergeCell ref="S57:T57"/>
    <mergeCell ref="L58:P58"/>
    <mergeCell ref="Q58:R58"/>
    <mergeCell ref="L59:P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96"/>
  <sheetViews>
    <sheetView zoomScalePageLayoutView="0" workbookViewId="0" topLeftCell="A36">
      <selection activeCell="H42" sqref="H42:I42"/>
    </sheetView>
  </sheetViews>
  <sheetFormatPr defaultColWidth="9.33203125" defaultRowHeight="21"/>
  <cols>
    <col min="1" max="1" width="7.66015625" style="0" customWidth="1"/>
    <col min="2" max="2" width="7.16015625" style="0" customWidth="1"/>
    <col min="5" max="5" width="24.5" style="0" customWidth="1"/>
    <col min="6" max="6" width="11.33203125" style="0" customWidth="1"/>
    <col min="7" max="7" width="2.83203125" style="0" customWidth="1"/>
    <col min="8" max="8" width="14.66015625" style="0" customWidth="1"/>
    <col min="9" max="9" width="1.5" style="0" customWidth="1"/>
    <col min="10" max="10" width="8.83203125" style="0" hidden="1" customWidth="1"/>
    <col min="11" max="11" width="19.83203125" style="0" customWidth="1"/>
    <col min="13" max="13" width="15.16015625" style="0" customWidth="1"/>
  </cols>
  <sheetData>
    <row r="1" spans="1:11" ht="23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3.25">
      <c r="A2" s="11"/>
      <c r="B2" s="11"/>
      <c r="C2" s="11"/>
      <c r="D2" s="11"/>
      <c r="E2" s="11"/>
      <c r="F2" s="11"/>
      <c r="G2" s="11"/>
      <c r="H2" s="11"/>
      <c r="I2" s="451" t="s">
        <v>623</v>
      </c>
      <c r="J2" s="451"/>
      <c r="K2" s="451"/>
    </row>
    <row r="3" spans="1:10" ht="23.25">
      <c r="A3" s="11"/>
      <c r="B3" s="11"/>
      <c r="C3" s="11"/>
      <c r="D3" s="11"/>
      <c r="E3" s="11"/>
      <c r="F3" s="11"/>
      <c r="G3" s="11"/>
      <c r="H3" s="11"/>
      <c r="I3" s="177" t="s">
        <v>630</v>
      </c>
      <c r="J3" s="15"/>
    </row>
    <row r="4" spans="1:11" ht="26.25">
      <c r="A4" s="311" t="s">
        <v>229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ht="23.25">
      <c r="A5" s="11" t="s">
        <v>591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23.25">
      <c r="A6" s="436" t="s">
        <v>2</v>
      </c>
      <c r="B6" s="436"/>
      <c r="C6" s="436"/>
      <c r="D6" s="436"/>
      <c r="E6" s="436"/>
      <c r="F6" s="437" t="s">
        <v>3</v>
      </c>
      <c r="G6" s="436"/>
      <c r="H6" s="436" t="s">
        <v>234</v>
      </c>
      <c r="I6" s="436"/>
      <c r="J6" s="436" t="s">
        <v>235</v>
      </c>
      <c r="K6" s="436"/>
    </row>
    <row r="7" spans="1:11" ht="23.25">
      <c r="A7" s="189" t="s">
        <v>234</v>
      </c>
      <c r="B7" s="17" t="s">
        <v>314</v>
      </c>
      <c r="C7" s="17"/>
      <c r="D7" s="17"/>
      <c r="E7" s="145"/>
      <c r="F7" s="420">
        <v>110201</v>
      </c>
      <c r="G7" s="421"/>
      <c r="H7" s="429">
        <v>1409384.91</v>
      </c>
      <c r="I7" s="430"/>
      <c r="J7" s="426"/>
      <c r="K7" s="428"/>
    </row>
    <row r="8" spans="1:11" ht="23.25">
      <c r="A8" s="16"/>
      <c r="B8" s="17" t="s">
        <v>315</v>
      </c>
      <c r="C8" s="17"/>
      <c r="D8" s="17"/>
      <c r="E8" s="145"/>
      <c r="F8" s="412"/>
      <c r="G8" s="399"/>
      <c r="H8" s="412"/>
      <c r="I8" s="399"/>
      <c r="J8" s="412"/>
      <c r="K8" s="399"/>
    </row>
    <row r="9" spans="1:19" ht="23.25">
      <c r="A9" s="159"/>
      <c r="B9" s="17" t="s">
        <v>314</v>
      </c>
      <c r="C9" s="17"/>
      <c r="D9" s="17"/>
      <c r="E9" s="145"/>
      <c r="F9" s="411">
        <v>110201</v>
      </c>
      <c r="G9" s="403"/>
      <c r="H9" s="380">
        <v>49468.35</v>
      </c>
      <c r="I9" s="381"/>
      <c r="J9" s="412"/>
      <c r="K9" s="399"/>
      <c r="N9" s="17"/>
      <c r="O9" s="17"/>
      <c r="P9" s="17"/>
      <c r="Q9" s="145"/>
      <c r="R9" s="411"/>
      <c r="S9" s="403"/>
    </row>
    <row r="10" spans="1:19" ht="23.25">
      <c r="A10" s="159"/>
      <c r="B10" s="160" t="s">
        <v>379</v>
      </c>
      <c r="C10" s="160"/>
      <c r="D10" s="160"/>
      <c r="E10" s="161"/>
      <c r="F10" s="157"/>
      <c r="G10" s="158"/>
      <c r="H10" s="157"/>
      <c r="I10" s="158"/>
      <c r="J10" s="412"/>
      <c r="K10" s="399"/>
      <c r="N10" s="17"/>
      <c r="O10" s="17"/>
      <c r="P10" s="17"/>
      <c r="Q10" s="145"/>
      <c r="R10" s="412"/>
      <c r="S10" s="399"/>
    </row>
    <row r="11" spans="1:11" ht="23.25">
      <c r="A11" s="159"/>
      <c r="B11" s="17" t="s">
        <v>377</v>
      </c>
      <c r="C11" s="17"/>
      <c r="D11" s="17"/>
      <c r="E11" s="145"/>
      <c r="F11" s="411">
        <v>110100</v>
      </c>
      <c r="G11" s="403"/>
      <c r="H11" s="380">
        <v>0</v>
      </c>
      <c r="I11" s="381"/>
      <c r="J11" s="157"/>
      <c r="K11" s="158"/>
    </row>
    <row r="12" spans="1:11" ht="23.25">
      <c r="A12" s="159"/>
      <c r="B12" s="419" t="s">
        <v>316</v>
      </c>
      <c r="C12" s="419"/>
      <c r="D12" s="419"/>
      <c r="E12" s="443"/>
      <c r="F12" s="411">
        <v>110201</v>
      </c>
      <c r="G12" s="403"/>
      <c r="H12" s="463">
        <v>9594.72</v>
      </c>
      <c r="I12" s="464"/>
      <c r="J12" s="157"/>
      <c r="K12" s="158"/>
    </row>
    <row r="13" spans="1:11" ht="23.25">
      <c r="A13" s="16"/>
      <c r="B13" s="419" t="s">
        <v>614</v>
      </c>
      <c r="C13" s="419"/>
      <c r="D13" s="419"/>
      <c r="E13" s="443"/>
      <c r="F13" s="411"/>
      <c r="G13" s="403"/>
      <c r="H13" s="16"/>
      <c r="I13" s="145"/>
      <c r="J13" s="431"/>
      <c r="K13" s="432"/>
    </row>
    <row r="14" spans="1:11" ht="23.25">
      <c r="A14" s="16"/>
      <c r="B14" s="17" t="s">
        <v>235</v>
      </c>
      <c r="C14" s="17" t="s">
        <v>316</v>
      </c>
      <c r="D14" s="17"/>
      <c r="E14" s="145"/>
      <c r="F14" s="411">
        <v>110203</v>
      </c>
      <c r="G14" s="403"/>
      <c r="H14" s="463"/>
      <c r="I14" s="464"/>
      <c r="J14" s="431">
        <v>130285.74</v>
      </c>
      <c r="K14" s="432"/>
    </row>
    <row r="15" spans="1:11" ht="23.25">
      <c r="A15" s="159"/>
      <c r="B15" s="160"/>
      <c r="C15" s="160" t="s">
        <v>317</v>
      </c>
      <c r="D15" s="160"/>
      <c r="E15" s="160"/>
      <c r="F15" s="411"/>
      <c r="G15" s="403"/>
      <c r="H15" s="16"/>
      <c r="I15" s="145"/>
      <c r="J15" s="431"/>
      <c r="K15" s="432"/>
    </row>
    <row r="16" spans="1:11" ht="23.25">
      <c r="A16" s="159"/>
      <c r="B16" s="160"/>
      <c r="C16" s="419" t="s">
        <v>377</v>
      </c>
      <c r="D16" s="419"/>
      <c r="E16" s="443"/>
      <c r="F16" s="411">
        <v>110100</v>
      </c>
      <c r="G16" s="403"/>
      <c r="H16" s="16"/>
      <c r="I16" s="145"/>
      <c r="J16" s="213"/>
      <c r="K16" s="214">
        <v>0</v>
      </c>
    </row>
    <row r="17" spans="1:11" ht="23.25">
      <c r="A17" s="159"/>
      <c r="B17" s="160"/>
      <c r="C17" s="419" t="s">
        <v>285</v>
      </c>
      <c r="D17" s="419"/>
      <c r="E17" s="443"/>
      <c r="F17" s="411">
        <v>400000</v>
      </c>
      <c r="G17" s="403"/>
      <c r="H17" s="16"/>
      <c r="I17" s="145"/>
      <c r="J17" s="431">
        <v>1338162.24</v>
      </c>
      <c r="K17" s="432"/>
    </row>
    <row r="18" spans="1:11" ht="23.25">
      <c r="A18" s="159"/>
      <c r="B18" s="17"/>
      <c r="C18" s="413" t="s">
        <v>602</v>
      </c>
      <c r="D18" s="413"/>
      <c r="E18" s="399"/>
      <c r="F18" s="411">
        <v>110605</v>
      </c>
      <c r="G18" s="403"/>
      <c r="H18" s="16"/>
      <c r="I18" s="145"/>
      <c r="J18" s="431">
        <v>0</v>
      </c>
      <c r="K18" s="432"/>
    </row>
    <row r="19" spans="1:11" ht="23.25">
      <c r="A19" s="16"/>
      <c r="B19" s="160"/>
      <c r="C19" s="160" t="s">
        <v>603</v>
      </c>
      <c r="D19" s="160"/>
      <c r="E19" s="161"/>
      <c r="F19" s="411">
        <v>230199</v>
      </c>
      <c r="G19" s="403"/>
      <c r="H19" s="16"/>
      <c r="I19" s="145"/>
      <c r="J19" s="431">
        <v>0</v>
      </c>
      <c r="K19" s="432"/>
    </row>
    <row r="20" spans="1:11" ht="23.25">
      <c r="A20" s="159"/>
      <c r="B20" s="160"/>
      <c r="C20" s="160" t="s">
        <v>376</v>
      </c>
      <c r="D20" s="160"/>
      <c r="E20" s="161"/>
      <c r="F20" s="411">
        <v>441000</v>
      </c>
      <c r="G20" s="403"/>
      <c r="H20" s="16"/>
      <c r="I20" s="145"/>
      <c r="J20" s="431">
        <v>0</v>
      </c>
      <c r="K20" s="432"/>
    </row>
    <row r="21" spans="1:11" ht="23.25">
      <c r="A21" s="168"/>
      <c r="B21" s="169"/>
      <c r="C21" s="419" t="s">
        <v>581</v>
      </c>
      <c r="D21" s="419"/>
      <c r="E21" s="443"/>
      <c r="F21" s="411">
        <v>230108</v>
      </c>
      <c r="G21" s="403"/>
      <c r="H21" s="411"/>
      <c r="I21" s="403"/>
      <c r="J21" s="465">
        <v>0</v>
      </c>
      <c r="K21" s="466"/>
    </row>
    <row r="22" spans="1:11" ht="23.25">
      <c r="A22" s="168"/>
      <c r="B22" s="169"/>
      <c r="C22" s="389" t="s">
        <v>398</v>
      </c>
      <c r="D22" s="389"/>
      <c r="E22" s="403"/>
      <c r="F22" s="412"/>
      <c r="G22" s="399"/>
      <c r="H22" s="431"/>
      <c r="I22" s="432"/>
      <c r="J22" s="442">
        <v>0</v>
      </c>
      <c r="K22" s="399"/>
    </row>
    <row r="23" spans="1:11" ht="23.25">
      <c r="A23" s="168"/>
      <c r="B23" s="169"/>
      <c r="C23" s="419"/>
      <c r="D23" s="419"/>
      <c r="E23" s="443"/>
      <c r="F23" s="471"/>
      <c r="G23" s="403"/>
      <c r="H23" s="412"/>
      <c r="I23" s="399"/>
      <c r="J23" s="412"/>
      <c r="K23" s="399"/>
    </row>
    <row r="24" spans="1:11" ht="23.25">
      <c r="A24" s="412"/>
      <c r="B24" s="413"/>
      <c r="C24" s="413"/>
      <c r="D24" s="413"/>
      <c r="E24" s="399"/>
      <c r="F24" s="412"/>
      <c r="G24" s="399"/>
      <c r="H24" s="412"/>
      <c r="I24" s="399"/>
      <c r="J24" s="412"/>
      <c r="K24" s="399"/>
    </row>
    <row r="25" spans="1:11" ht="23.25">
      <c r="A25" s="412"/>
      <c r="B25" s="413"/>
      <c r="C25" s="413"/>
      <c r="D25" s="413"/>
      <c r="E25" s="399"/>
      <c r="F25" s="412"/>
      <c r="G25" s="399"/>
      <c r="H25" s="412"/>
      <c r="I25" s="399"/>
      <c r="J25" s="412"/>
      <c r="K25" s="399"/>
    </row>
    <row r="26" spans="1:11" ht="23.25">
      <c r="A26" s="412"/>
      <c r="B26" s="413"/>
      <c r="C26" s="413"/>
      <c r="D26" s="413"/>
      <c r="E26" s="399"/>
      <c r="F26" s="412"/>
      <c r="G26" s="399"/>
      <c r="H26" s="414"/>
      <c r="I26" s="415"/>
      <c r="J26" s="414"/>
      <c r="K26" s="415"/>
    </row>
    <row r="27" spans="1:11" ht="24" thickBot="1">
      <c r="A27" s="412"/>
      <c r="B27" s="413"/>
      <c r="C27" s="413"/>
      <c r="D27" s="413"/>
      <c r="E27" s="399"/>
      <c r="F27" s="412"/>
      <c r="G27" s="399"/>
      <c r="H27" s="409">
        <f>SUM(H7:I26)</f>
        <v>1468447.98</v>
      </c>
      <c r="I27" s="410"/>
      <c r="J27" s="423">
        <f>SUM(J14:K24)</f>
        <v>1468447.98</v>
      </c>
      <c r="K27" s="424"/>
    </row>
    <row r="28" spans="1:11" ht="24" thickTop="1">
      <c r="A28" s="146" t="s">
        <v>230</v>
      </c>
      <c r="B28" s="147" t="s">
        <v>231</v>
      </c>
      <c r="C28" s="147"/>
      <c r="D28" s="143"/>
      <c r="E28" s="143"/>
      <c r="F28" s="143"/>
      <c r="G28" s="143"/>
      <c r="H28" s="143"/>
      <c r="I28" s="143"/>
      <c r="J28" s="143"/>
      <c r="K28" s="144"/>
    </row>
    <row r="29" spans="1:11" ht="23.25">
      <c r="A29" s="411" t="s">
        <v>624</v>
      </c>
      <c r="B29" s="389"/>
      <c r="C29" s="389"/>
      <c r="D29" s="389"/>
      <c r="E29" s="389"/>
      <c r="F29" s="389"/>
      <c r="G29" s="389"/>
      <c r="H29" s="389"/>
      <c r="I29" s="389"/>
      <c r="J29" s="389"/>
      <c r="K29" s="403"/>
    </row>
    <row r="30" spans="1:11" ht="23.25">
      <c r="A30" s="411"/>
      <c r="B30" s="389"/>
      <c r="C30" s="389"/>
      <c r="D30" s="389"/>
      <c r="E30" s="389"/>
      <c r="F30" s="389"/>
      <c r="G30" s="389"/>
      <c r="H30" s="389"/>
      <c r="I30" s="389"/>
      <c r="J30" s="389"/>
      <c r="K30" s="403"/>
    </row>
    <row r="31" spans="1:11" ht="23.25">
      <c r="A31" s="148" t="s">
        <v>177</v>
      </c>
      <c r="B31" s="143"/>
      <c r="C31" s="144"/>
      <c r="D31" s="148" t="s">
        <v>232</v>
      </c>
      <c r="E31" s="143"/>
      <c r="F31" s="143"/>
      <c r="G31" s="144"/>
      <c r="H31" s="147" t="s">
        <v>233</v>
      </c>
      <c r="I31" s="147"/>
      <c r="J31" s="143"/>
      <c r="K31" s="144"/>
    </row>
    <row r="32" spans="1:11" ht="23.25">
      <c r="A32" s="157"/>
      <c r="B32" s="26"/>
      <c r="C32" s="158"/>
      <c r="D32" s="26"/>
      <c r="E32" s="26"/>
      <c r="F32" s="26"/>
      <c r="G32" s="158"/>
      <c r="H32" s="26"/>
      <c r="I32" s="26"/>
      <c r="J32" s="26"/>
      <c r="K32" s="158"/>
    </row>
    <row r="33" spans="1:11" ht="21">
      <c r="A33" s="192"/>
      <c r="B33" s="192"/>
      <c r="C33" s="193"/>
      <c r="D33" s="192"/>
      <c r="E33" s="192"/>
      <c r="F33" s="192"/>
      <c r="G33" s="193"/>
      <c r="H33" s="192"/>
      <c r="I33" s="192"/>
      <c r="J33" s="192"/>
      <c r="K33" s="193"/>
    </row>
    <row r="34" spans="1:11" ht="23.25">
      <c r="A34" s="11" t="s">
        <v>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23.25">
      <c r="A35" s="11"/>
      <c r="B35" s="11"/>
      <c r="C35" s="11"/>
      <c r="D35" s="11"/>
      <c r="E35" s="11"/>
      <c r="F35" s="11"/>
      <c r="G35" s="11"/>
      <c r="H35" s="11"/>
      <c r="I35" s="451" t="s">
        <v>625</v>
      </c>
      <c r="J35" s="451"/>
      <c r="K35" s="451"/>
    </row>
    <row r="36" spans="1:11" ht="23.25">
      <c r="A36" s="11"/>
      <c r="B36" s="11"/>
      <c r="C36" s="11"/>
      <c r="D36" s="11"/>
      <c r="E36" s="11"/>
      <c r="F36" s="11"/>
      <c r="G36" s="11"/>
      <c r="H36" s="11"/>
      <c r="I36" s="451" t="s">
        <v>631</v>
      </c>
      <c r="J36" s="451"/>
      <c r="K36" s="451"/>
    </row>
    <row r="37" spans="1:11" ht="26.25">
      <c r="A37" s="311" t="s">
        <v>229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</row>
    <row r="38" spans="1:11" ht="23.25">
      <c r="A38" s="11" t="s">
        <v>591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23.25">
      <c r="A39" s="452" t="s">
        <v>2</v>
      </c>
      <c r="B39" s="453"/>
      <c r="C39" s="453"/>
      <c r="D39" s="453"/>
      <c r="E39" s="437"/>
      <c r="F39" s="437" t="s">
        <v>3</v>
      </c>
      <c r="G39" s="436"/>
      <c r="H39" s="436" t="s">
        <v>234</v>
      </c>
      <c r="I39" s="436"/>
      <c r="J39" s="436" t="s">
        <v>235</v>
      </c>
      <c r="K39" s="436"/>
    </row>
    <row r="40" spans="1:11" ht="23.25">
      <c r="A40" s="188" t="s">
        <v>234</v>
      </c>
      <c r="B40" s="143" t="s">
        <v>312</v>
      </c>
      <c r="C40" s="143"/>
      <c r="D40" s="143"/>
      <c r="E40" s="144"/>
      <c r="F40" s="420">
        <v>510000</v>
      </c>
      <c r="G40" s="421"/>
      <c r="H40" s="407">
        <v>2800</v>
      </c>
      <c r="I40" s="408"/>
      <c r="J40" s="407"/>
      <c r="K40" s="408"/>
    </row>
    <row r="41" spans="1:11" ht="23.25">
      <c r="A41" s="16"/>
      <c r="B41" s="11" t="s">
        <v>313</v>
      </c>
      <c r="C41" s="11"/>
      <c r="D41" s="11"/>
      <c r="E41" s="145"/>
      <c r="F41" s="411">
        <v>521000</v>
      </c>
      <c r="G41" s="403"/>
      <c r="H41" s="405">
        <v>170590</v>
      </c>
      <c r="I41" s="406"/>
      <c r="J41" s="405"/>
      <c r="K41" s="406"/>
    </row>
    <row r="42" spans="1:11" ht="23.25">
      <c r="A42" s="16"/>
      <c r="B42" s="11" t="s">
        <v>318</v>
      </c>
      <c r="C42" s="11"/>
      <c r="D42" s="11"/>
      <c r="E42" s="145"/>
      <c r="F42" s="411">
        <v>522000</v>
      </c>
      <c r="G42" s="403"/>
      <c r="H42" s="405">
        <v>269407</v>
      </c>
      <c r="I42" s="406"/>
      <c r="J42" s="405"/>
      <c r="K42" s="406"/>
    </row>
    <row r="43" spans="1:11" ht="23.25">
      <c r="A43" s="16"/>
      <c r="B43" s="11" t="s">
        <v>319</v>
      </c>
      <c r="C43" s="11"/>
      <c r="D43" s="11"/>
      <c r="E43" s="145"/>
      <c r="F43" s="411">
        <v>531000</v>
      </c>
      <c r="G43" s="403"/>
      <c r="H43" s="405">
        <v>12450</v>
      </c>
      <c r="I43" s="406"/>
      <c r="J43" s="405"/>
      <c r="K43" s="406"/>
    </row>
    <row r="44" spans="1:11" ht="23.25">
      <c r="A44" s="16"/>
      <c r="B44" s="11" t="s">
        <v>320</v>
      </c>
      <c r="C44" s="11"/>
      <c r="D44" s="11"/>
      <c r="E44" s="145"/>
      <c r="F44" s="411">
        <v>532000</v>
      </c>
      <c r="G44" s="403"/>
      <c r="H44" s="405">
        <v>166843.2</v>
      </c>
      <c r="I44" s="406"/>
      <c r="J44" s="405"/>
      <c r="K44" s="406"/>
    </row>
    <row r="45" spans="1:11" ht="23.25">
      <c r="A45" s="16"/>
      <c r="B45" s="11" t="s">
        <v>321</v>
      </c>
      <c r="C45" s="11"/>
      <c r="D45" s="11"/>
      <c r="E45" s="145"/>
      <c r="F45" s="411">
        <v>533000</v>
      </c>
      <c r="G45" s="403"/>
      <c r="H45" s="405">
        <v>67257.6</v>
      </c>
      <c r="I45" s="406"/>
      <c r="J45" s="405"/>
      <c r="K45" s="406"/>
    </row>
    <row r="46" spans="1:11" ht="23.25">
      <c r="A46" s="16"/>
      <c r="B46" s="11" t="s">
        <v>322</v>
      </c>
      <c r="C46" s="11"/>
      <c r="D46" s="11"/>
      <c r="E46" s="145"/>
      <c r="F46" s="411">
        <v>534000</v>
      </c>
      <c r="G46" s="403"/>
      <c r="H46" s="405">
        <v>29003.67</v>
      </c>
      <c r="I46" s="406"/>
      <c r="J46" s="196"/>
      <c r="K46" s="162"/>
    </row>
    <row r="47" spans="1:11" ht="23.25">
      <c r="A47" s="16"/>
      <c r="B47" s="472" t="s">
        <v>335</v>
      </c>
      <c r="C47" s="472"/>
      <c r="D47" s="472"/>
      <c r="E47" s="145"/>
      <c r="F47" s="411">
        <v>541000</v>
      </c>
      <c r="G47" s="403"/>
      <c r="H47" s="405">
        <v>5980</v>
      </c>
      <c r="I47" s="406"/>
      <c r="J47" s="196"/>
      <c r="K47" s="162"/>
    </row>
    <row r="48" spans="1:11" ht="23.25">
      <c r="A48" s="16"/>
      <c r="B48" s="11" t="s">
        <v>354</v>
      </c>
      <c r="C48" s="11"/>
      <c r="D48" s="11"/>
      <c r="E48" s="145"/>
      <c r="F48" s="411">
        <v>542000</v>
      </c>
      <c r="G48" s="403"/>
      <c r="H48" s="416">
        <v>0</v>
      </c>
      <c r="I48" s="417"/>
      <c r="J48" s="196"/>
      <c r="K48" s="162"/>
    </row>
    <row r="49" spans="1:11" ht="23.25">
      <c r="A49" s="16"/>
      <c r="B49" s="11" t="s">
        <v>334</v>
      </c>
      <c r="C49" s="11"/>
      <c r="D49" s="11"/>
      <c r="E49" s="145"/>
      <c r="F49" s="411">
        <v>560000</v>
      </c>
      <c r="G49" s="403"/>
      <c r="H49" s="405">
        <v>0</v>
      </c>
      <c r="I49" s="406"/>
      <c r="J49" s="405"/>
      <c r="K49" s="406"/>
    </row>
    <row r="50" spans="1:11" ht="23.25">
      <c r="A50" s="16"/>
      <c r="B50" s="11" t="s">
        <v>323</v>
      </c>
      <c r="C50" s="11"/>
      <c r="D50" s="11"/>
      <c r="E50" s="145"/>
      <c r="F50" s="411">
        <v>110606</v>
      </c>
      <c r="G50" s="403"/>
      <c r="H50" s="405">
        <v>24450</v>
      </c>
      <c r="I50" s="406"/>
      <c r="J50" s="196"/>
      <c r="K50" s="162"/>
    </row>
    <row r="51" spans="1:11" ht="23.25">
      <c r="A51" s="159"/>
      <c r="B51" s="17" t="s">
        <v>374</v>
      </c>
      <c r="C51" s="17"/>
      <c r="D51" s="17"/>
      <c r="E51" s="145"/>
      <c r="F51" s="411">
        <v>441000</v>
      </c>
      <c r="G51" s="403"/>
      <c r="H51" s="405">
        <v>311700</v>
      </c>
      <c r="I51" s="406"/>
      <c r="J51" s="416"/>
      <c r="K51" s="417"/>
    </row>
    <row r="52" spans="1:11" ht="23.25">
      <c r="A52" s="159"/>
      <c r="B52" s="169" t="s">
        <v>375</v>
      </c>
      <c r="C52" s="169"/>
      <c r="D52" s="169"/>
      <c r="E52" s="170"/>
      <c r="F52" s="411">
        <v>441000</v>
      </c>
      <c r="G52" s="403"/>
      <c r="H52" s="416">
        <v>24500</v>
      </c>
      <c r="I52" s="417"/>
      <c r="J52" s="202"/>
      <c r="K52" s="203"/>
    </row>
    <row r="53" spans="1:11" ht="23.25">
      <c r="A53" s="159"/>
      <c r="B53" s="169" t="s">
        <v>626</v>
      </c>
      <c r="C53" s="169"/>
      <c r="D53" s="169"/>
      <c r="E53" s="170"/>
      <c r="F53" s="411">
        <v>441000</v>
      </c>
      <c r="G53" s="403"/>
      <c r="H53" s="416">
        <v>52700</v>
      </c>
      <c r="I53" s="417"/>
      <c r="J53" s="202"/>
      <c r="K53" s="203"/>
    </row>
    <row r="54" spans="1:11" ht="23.25">
      <c r="A54" s="159"/>
      <c r="B54" s="169" t="s">
        <v>627</v>
      </c>
      <c r="C54" s="169"/>
      <c r="D54" s="169"/>
      <c r="E54" s="170"/>
      <c r="F54" s="411">
        <v>110606</v>
      </c>
      <c r="G54" s="403"/>
      <c r="H54" s="416">
        <v>333999</v>
      </c>
      <c r="I54" s="417"/>
      <c r="J54" s="202"/>
      <c r="K54" s="203"/>
    </row>
    <row r="55" spans="1:11" ht="23.25">
      <c r="A55" s="159"/>
      <c r="B55" s="169" t="s">
        <v>582</v>
      </c>
      <c r="C55" s="169"/>
      <c r="D55" s="169"/>
      <c r="E55" s="170"/>
      <c r="F55" s="411">
        <v>110605</v>
      </c>
      <c r="G55" s="403"/>
      <c r="H55" s="416">
        <v>7600</v>
      </c>
      <c r="I55" s="417"/>
      <c r="J55" s="202"/>
      <c r="K55" s="203"/>
    </row>
    <row r="56" spans="1:11" ht="23.25">
      <c r="A56" s="159"/>
      <c r="B56" s="419" t="s">
        <v>324</v>
      </c>
      <c r="C56" s="419"/>
      <c r="D56" s="419"/>
      <c r="E56" s="443"/>
      <c r="F56" s="411">
        <v>230102</v>
      </c>
      <c r="G56" s="403"/>
      <c r="H56" s="416">
        <v>316.75</v>
      </c>
      <c r="I56" s="417"/>
      <c r="J56" s="202"/>
      <c r="K56" s="203"/>
    </row>
    <row r="57" spans="1:11" ht="23.25">
      <c r="A57" s="159"/>
      <c r="B57" s="419" t="s">
        <v>593</v>
      </c>
      <c r="C57" s="419"/>
      <c r="D57" s="419"/>
      <c r="E57" s="443"/>
      <c r="F57" s="411">
        <v>230199</v>
      </c>
      <c r="G57" s="403"/>
      <c r="H57" s="416">
        <v>1350</v>
      </c>
      <c r="I57" s="417"/>
      <c r="J57" s="202"/>
      <c r="K57" s="203"/>
    </row>
    <row r="58" spans="1:11" ht="23.25">
      <c r="A58" s="16"/>
      <c r="B58" s="190" t="s">
        <v>235</v>
      </c>
      <c r="C58" s="17" t="s">
        <v>316</v>
      </c>
      <c r="D58" s="17"/>
      <c r="E58" s="145"/>
      <c r="F58" s="411">
        <v>110203</v>
      </c>
      <c r="G58" s="403"/>
      <c r="H58" s="196"/>
      <c r="I58" s="162"/>
      <c r="J58" s="405">
        <v>1474859.65</v>
      </c>
      <c r="K58" s="406"/>
    </row>
    <row r="59" spans="1:11" ht="23.25">
      <c r="A59" s="16"/>
      <c r="B59" s="160"/>
      <c r="C59" s="160" t="s">
        <v>325</v>
      </c>
      <c r="D59" s="160"/>
      <c r="E59" s="160"/>
      <c r="F59" s="157"/>
      <c r="G59" s="158"/>
      <c r="H59" s="157"/>
      <c r="I59" s="158"/>
      <c r="J59" s="26"/>
      <c r="K59" s="158"/>
    </row>
    <row r="60" spans="1:11" ht="23.25">
      <c r="A60" s="16"/>
      <c r="B60" s="160"/>
      <c r="C60" s="160" t="s">
        <v>386</v>
      </c>
      <c r="D60" s="160"/>
      <c r="E60" s="160"/>
      <c r="F60" s="411">
        <v>230102</v>
      </c>
      <c r="G60" s="403"/>
      <c r="H60" s="26"/>
      <c r="I60" s="158"/>
      <c r="J60" s="26"/>
      <c r="K60" s="207">
        <v>4737.57</v>
      </c>
    </row>
    <row r="61" spans="1:11" ht="23.25">
      <c r="A61" s="16"/>
      <c r="B61" s="160"/>
      <c r="C61" s="419" t="s">
        <v>593</v>
      </c>
      <c r="D61" s="419"/>
      <c r="E61" s="443"/>
      <c r="F61" s="411">
        <v>230199</v>
      </c>
      <c r="G61" s="403"/>
      <c r="H61" s="26"/>
      <c r="I61" s="158"/>
      <c r="J61" s="26"/>
      <c r="K61" s="207">
        <v>1350</v>
      </c>
    </row>
    <row r="62" spans="1:11" ht="24" thickBot="1">
      <c r="A62" s="149"/>
      <c r="B62" s="150"/>
      <c r="C62" s="150"/>
      <c r="D62" s="150"/>
      <c r="E62" s="151"/>
      <c r="F62" s="411"/>
      <c r="G62" s="403"/>
      <c r="H62" s="438">
        <f>SUM(H40:I60)</f>
        <v>1480947.22</v>
      </c>
      <c r="I62" s="439"/>
      <c r="J62" s="423">
        <f>SUM(J58:K61)</f>
        <v>1480947.22</v>
      </c>
      <c r="K62" s="440"/>
    </row>
    <row r="63" spans="1:11" ht="24" thickTop="1">
      <c r="A63" s="146" t="s">
        <v>230</v>
      </c>
      <c r="B63" s="147" t="s">
        <v>231</v>
      </c>
      <c r="C63" s="147"/>
      <c r="D63" s="143"/>
      <c r="E63" s="143"/>
      <c r="F63" s="143"/>
      <c r="G63" s="143"/>
      <c r="H63" s="17"/>
      <c r="I63" s="17"/>
      <c r="J63" s="17"/>
      <c r="K63" s="145"/>
    </row>
    <row r="64" spans="1:11" ht="23.25">
      <c r="A64" s="411" t="s">
        <v>628</v>
      </c>
      <c r="B64" s="389"/>
      <c r="C64" s="389"/>
      <c r="D64" s="389"/>
      <c r="E64" s="389"/>
      <c r="F64" s="389"/>
      <c r="G64" s="389"/>
      <c r="H64" s="389"/>
      <c r="I64" s="389"/>
      <c r="J64" s="389"/>
      <c r="K64" s="403"/>
    </row>
    <row r="65" spans="1:11" ht="23.25">
      <c r="A65" s="148" t="s">
        <v>177</v>
      </c>
      <c r="B65" s="143"/>
      <c r="C65" s="144"/>
      <c r="D65" s="148" t="s">
        <v>232</v>
      </c>
      <c r="E65" s="143"/>
      <c r="F65" s="143"/>
      <c r="G65" s="144"/>
      <c r="H65" s="147" t="s">
        <v>233</v>
      </c>
      <c r="I65" s="147"/>
      <c r="J65" s="229"/>
      <c r="K65" s="144"/>
    </row>
    <row r="66" spans="1:11" ht="23.25">
      <c r="A66" s="272"/>
      <c r="B66" s="150"/>
      <c r="C66" s="151"/>
      <c r="D66" s="271"/>
      <c r="E66" s="150"/>
      <c r="F66" s="150"/>
      <c r="G66" s="151"/>
      <c r="H66" s="271"/>
      <c r="I66" s="271"/>
      <c r="J66" s="150"/>
      <c r="K66" s="151"/>
    </row>
    <row r="67" spans="1:11" ht="23.25">
      <c r="A67" s="11" t="s">
        <v>0</v>
      </c>
      <c r="B67" s="17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23.25">
      <c r="A68" s="11"/>
      <c r="B68" s="11"/>
      <c r="C68" s="11"/>
      <c r="D68" s="11"/>
      <c r="E68" s="11"/>
      <c r="F68" s="11"/>
      <c r="G68" s="11"/>
      <c r="H68" s="11"/>
      <c r="I68" s="451" t="s">
        <v>629</v>
      </c>
      <c r="J68" s="451"/>
      <c r="K68" s="451"/>
    </row>
    <row r="69" spans="1:11" ht="23.25">
      <c r="A69" s="11"/>
      <c r="B69" s="11"/>
      <c r="C69" s="11"/>
      <c r="D69" s="11"/>
      <c r="E69" s="11"/>
      <c r="F69" s="11"/>
      <c r="G69" s="11"/>
      <c r="H69" s="11"/>
      <c r="I69" s="451" t="s">
        <v>630</v>
      </c>
      <c r="J69" s="451"/>
      <c r="K69" s="451"/>
    </row>
    <row r="70" spans="1:11" ht="26.25">
      <c r="A70" s="311" t="s">
        <v>229</v>
      </c>
      <c r="B70" s="311"/>
      <c r="C70" s="311"/>
      <c r="D70" s="311"/>
      <c r="E70" s="311"/>
      <c r="F70" s="311"/>
      <c r="G70" s="311"/>
      <c r="H70" s="311"/>
      <c r="I70" s="311"/>
      <c r="J70" s="311"/>
      <c r="K70" s="311"/>
    </row>
    <row r="71" spans="1:11" ht="23.25">
      <c r="A71" s="11" t="s">
        <v>591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23.25">
      <c r="A72" s="452" t="s">
        <v>2</v>
      </c>
      <c r="B72" s="453"/>
      <c r="C72" s="453"/>
      <c r="D72" s="453"/>
      <c r="E72" s="437"/>
      <c r="F72" s="437" t="s">
        <v>3</v>
      </c>
      <c r="G72" s="436"/>
      <c r="H72" s="436" t="s">
        <v>234</v>
      </c>
      <c r="I72" s="436"/>
      <c r="J72" s="436" t="s">
        <v>235</v>
      </c>
      <c r="K72" s="436"/>
    </row>
    <row r="73" spans="1:11" ht="23.25">
      <c r="A73" s="148" t="s">
        <v>234</v>
      </c>
      <c r="B73" s="143" t="s">
        <v>285</v>
      </c>
      <c r="C73" s="143"/>
      <c r="D73" s="143"/>
      <c r="E73" s="144"/>
      <c r="F73" s="420">
        <v>400000</v>
      </c>
      <c r="G73" s="421"/>
      <c r="H73" s="407">
        <v>1338162.24</v>
      </c>
      <c r="I73" s="408"/>
      <c r="J73" s="407"/>
      <c r="K73" s="408"/>
    </row>
    <row r="74" spans="1:11" ht="23.25">
      <c r="A74" s="16"/>
      <c r="B74" s="12" t="s">
        <v>235</v>
      </c>
      <c r="C74" s="451" t="s">
        <v>287</v>
      </c>
      <c r="D74" s="451"/>
      <c r="E74" s="443"/>
      <c r="F74" s="411">
        <v>411001</v>
      </c>
      <c r="G74" s="403"/>
      <c r="H74" s="405"/>
      <c r="I74" s="406"/>
      <c r="J74" s="405">
        <v>0</v>
      </c>
      <c r="K74" s="406"/>
    </row>
    <row r="75" spans="1:11" ht="23.25">
      <c r="A75" s="16"/>
      <c r="B75" s="12"/>
      <c r="C75" s="11" t="s">
        <v>260</v>
      </c>
      <c r="D75" s="11"/>
      <c r="E75" s="145"/>
      <c r="F75" s="411">
        <v>411002</v>
      </c>
      <c r="G75" s="403"/>
      <c r="H75" s="405"/>
      <c r="I75" s="406"/>
      <c r="J75" s="405">
        <v>1226</v>
      </c>
      <c r="K75" s="406"/>
    </row>
    <row r="76" spans="1:11" ht="23.25">
      <c r="A76" s="16"/>
      <c r="B76" s="12"/>
      <c r="C76" s="451" t="s">
        <v>289</v>
      </c>
      <c r="D76" s="451"/>
      <c r="E76" s="443"/>
      <c r="F76" s="411">
        <v>411003</v>
      </c>
      <c r="G76" s="403"/>
      <c r="H76" s="196"/>
      <c r="I76" s="162"/>
      <c r="J76" s="196"/>
      <c r="K76" s="162">
        <v>0</v>
      </c>
    </row>
    <row r="77" spans="1:11" ht="23.25">
      <c r="A77" s="16"/>
      <c r="B77" s="11"/>
      <c r="C77" s="11" t="s">
        <v>326</v>
      </c>
      <c r="D77" s="11"/>
      <c r="E77" s="145"/>
      <c r="F77" s="411">
        <v>411004</v>
      </c>
      <c r="G77" s="403"/>
      <c r="H77" s="405"/>
      <c r="I77" s="406"/>
      <c r="J77" s="405">
        <v>240</v>
      </c>
      <c r="K77" s="406"/>
    </row>
    <row r="78" spans="1:11" ht="23.25">
      <c r="A78" s="16"/>
      <c r="B78" s="11"/>
      <c r="C78" s="11" t="s">
        <v>417</v>
      </c>
      <c r="D78" s="11"/>
      <c r="E78" s="145"/>
      <c r="F78" s="411">
        <v>413002</v>
      </c>
      <c r="G78" s="403"/>
      <c r="H78" s="405"/>
      <c r="I78" s="406"/>
      <c r="J78" s="405">
        <v>49468.35</v>
      </c>
      <c r="K78" s="406"/>
    </row>
    <row r="79" spans="1:11" ht="23.25">
      <c r="A79" s="16"/>
      <c r="B79" s="11"/>
      <c r="C79" s="11" t="s">
        <v>592</v>
      </c>
      <c r="D79" s="11"/>
      <c r="E79" s="145"/>
      <c r="F79" s="411">
        <v>412111</v>
      </c>
      <c r="G79" s="403"/>
      <c r="H79" s="405"/>
      <c r="I79" s="406"/>
      <c r="J79" s="405">
        <v>0</v>
      </c>
      <c r="K79" s="406"/>
    </row>
    <row r="80" spans="1:11" ht="23.25">
      <c r="A80" s="16"/>
      <c r="B80" s="11"/>
      <c r="C80" s="11" t="s">
        <v>298</v>
      </c>
      <c r="D80" s="11"/>
      <c r="E80" s="145"/>
      <c r="F80" s="411">
        <v>412128</v>
      </c>
      <c r="G80" s="403"/>
      <c r="H80" s="405"/>
      <c r="I80" s="406"/>
      <c r="J80" s="405">
        <v>50</v>
      </c>
      <c r="K80" s="406"/>
    </row>
    <row r="81" spans="1:11" ht="23.25">
      <c r="A81" s="16"/>
      <c r="B81" s="11"/>
      <c r="C81" s="11" t="s">
        <v>615</v>
      </c>
      <c r="D81" s="11"/>
      <c r="E81" s="145"/>
      <c r="F81" s="411">
        <v>421004</v>
      </c>
      <c r="G81" s="403"/>
      <c r="H81" s="405"/>
      <c r="I81" s="406"/>
      <c r="J81" s="405">
        <v>0</v>
      </c>
      <c r="K81" s="406"/>
    </row>
    <row r="82" spans="1:11" ht="23.25">
      <c r="A82" s="16"/>
      <c r="B82" s="11"/>
      <c r="C82" s="11" t="s">
        <v>328</v>
      </c>
      <c r="D82" s="11"/>
      <c r="E82" s="145"/>
      <c r="F82" s="411">
        <v>421006</v>
      </c>
      <c r="G82" s="403"/>
      <c r="H82" s="405"/>
      <c r="I82" s="467"/>
      <c r="J82" s="405">
        <v>169840.35</v>
      </c>
      <c r="K82" s="406"/>
    </row>
    <row r="83" spans="1:11" ht="23.25">
      <c r="A83" s="157"/>
      <c r="B83" s="11"/>
      <c r="C83" s="11" t="s">
        <v>296</v>
      </c>
      <c r="D83" s="11"/>
      <c r="E83" s="145"/>
      <c r="F83" s="411">
        <v>421007</v>
      </c>
      <c r="G83" s="403"/>
      <c r="H83" s="416"/>
      <c r="I83" s="417"/>
      <c r="J83" s="416">
        <v>235178.83</v>
      </c>
      <c r="K83" s="417"/>
    </row>
    <row r="84" spans="1:11" ht="23.25">
      <c r="A84" s="159"/>
      <c r="B84" s="11"/>
      <c r="C84" s="11" t="s">
        <v>297</v>
      </c>
      <c r="D84" s="11"/>
      <c r="E84" s="145"/>
      <c r="F84" s="411">
        <v>421015</v>
      </c>
      <c r="G84" s="403"/>
      <c r="H84" s="416"/>
      <c r="I84" s="417"/>
      <c r="J84" s="416">
        <v>13931</v>
      </c>
      <c r="K84" s="417"/>
    </row>
    <row r="85" spans="1:11" ht="23.25">
      <c r="A85" s="16"/>
      <c r="B85" s="11"/>
      <c r="C85" s="11" t="s">
        <v>389</v>
      </c>
      <c r="D85" s="11"/>
      <c r="E85" s="145"/>
      <c r="F85" s="411">
        <v>421005</v>
      </c>
      <c r="G85" s="403"/>
      <c r="H85" s="405"/>
      <c r="I85" s="406"/>
      <c r="J85" s="405">
        <v>18806.56</v>
      </c>
      <c r="K85" s="406"/>
    </row>
    <row r="86" spans="1:11" ht="23.25">
      <c r="A86" s="16"/>
      <c r="B86" s="190"/>
      <c r="C86" s="425" t="s">
        <v>339</v>
      </c>
      <c r="D86" s="425"/>
      <c r="E86" s="403"/>
      <c r="F86" s="411">
        <v>421002</v>
      </c>
      <c r="G86" s="403"/>
      <c r="H86" s="405"/>
      <c r="I86" s="406"/>
      <c r="J86" s="405">
        <v>769126.43</v>
      </c>
      <c r="K86" s="406"/>
    </row>
    <row r="87" spans="1:11" ht="23.25">
      <c r="A87" s="16"/>
      <c r="B87" s="11"/>
      <c r="C87" s="451" t="s">
        <v>616</v>
      </c>
      <c r="D87" s="451"/>
      <c r="E87" s="443"/>
      <c r="F87" s="411">
        <v>415004</v>
      </c>
      <c r="G87" s="403"/>
      <c r="H87" s="441"/>
      <c r="I87" s="406"/>
      <c r="J87" s="405">
        <v>17000</v>
      </c>
      <c r="K87" s="406"/>
    </row>
    <row r="88" spans="1:11" ht="23.25">
      <c r="A88" s="16"/>
      <c r="B88" s="11"/>
      <c r="C88" s="177" t="s">
        <v>341</v>
      </c>
      <c r="D88" s="177"/>
      <c r="E88" s="161"/>
      <c r="F88" s="411">
        <v>421013</v>
      </c>
      <c r="G88" s="403"/>
      <c r="H88" s="164"/>
      <c r="I88" s="162"/>
      <c r="J88" s="196"/>
      <c r="K88" s="162">
        <v>9594.72</v>
      </c>
    </row>
    <row r="89" spans="1:13" ht="23.25">
      <c r="A89" s="16"/>
      <c r="B89" s="11"/>
      <c r="C89" s="451" t="s">
        <v>626</v>
      </c>
      <c r="D89" s="451"/>
      <c r="E89" s="443"/>
      <c r="F89" s="411">
        <v>441000</v>
      </c>
      <c r="G89" s="403"/>
      <c r="H89" s="164"/>
      <c r="I89" s="162"/>
      <c r="J89" s="196"/>
      <c r="K89" s="162">
        <v>52700</v>
      </c>
      <c r="M89">
        <v>102399.14</v>
      </c>
    </row>
    <row r="90" spans="1:13" ht="23.25">
      <c r="A90" s="16"/>
      <c r="B90" s="11"/>
      <c r="C90" s="425" t="s">
        <v>583</v>
      </c>
      <c r="D90" s="425"/>
      <c r="E90" s="403"/>
      <c r="F90" s="411">
        <v>441000</v>
      </c>
      <c r="G90" s="403"/>
      <c r="H90" s="164"/>
      <c r="I90" s="162"/>
      <c r="J90" s="196"/>
      <c r="K90" s="162">
        <v>0</v>
      </c>
      <c r="M90">
        <v>81600</v>
      </c>
    </row>
    <row r="91" spans="1:13" ht="23.25">
      <c r="A91" s="16"/>
      <c r="B91" s="11"/>
      <c r="C91" s="177" t="s">
        <v>584</v>
      </c>
      <c r="D91" s="177"/>
      <c r="E91" s="161"/>
      <c r="F91" s="411">
        <v>441000</v>
      </c>
      <c r="G91" s="403"/>
      <c r="H91" s="164"/>
      <c r="I91" s="162"/>
      <c r="J91" s="196"/>
      <c r="K91" s="162">
        <v>0</v>
      </c>
      <c r="M91">
        <f>SUM(M89-M90)</f>
        <v>20799.14</v>
      </c>
    </row>
    <row r="92" spans="1:13" ht="23.25">
      <c r="A92" s="16"/>
      <c r="B92" s="11"/>
      <c r="C92" s="177" t="s">
        <v>416</v>
      </c>
      <c r="D92" s="177"/>
      <c r="E92" s="161"/>
      <c r="F92" s="411">
        <v>413002</v>
      </c>
      <c r="G92" s="403"/>
      <c r="H92" s="164"/>
      <c r="I92" s="162"/>
      <c r="J92" s="196"/>
      <c r="K92" s="162">
        <v>1000</v>
      </c>
      <c r="M92">
        <v>108934.06</v>
      </c>
    </row>
    <row r="93" spans="1:13" ht="24" thickBot="1">
      <c r="A93" s="149"/>
      <c r="B93" s="150"/>
      <c r="C93" s="150"/>
      <c r="D93" s="150"/>
      <c r="E93" s="151"/>
      <c r="F93" s="411"/>
      <c r="G93" s="403"/>
      <c r="H93" s="438">
        <f>SUM(H73:H87)</f>
        <v>1338162.24</v>
      </c>
      <c r="I93" s="439"/>
      <c r="J93" s="423">
        <f>SUM(J74:K92)</f>
        <v>1338162.24</v>
      </c>
      <c r="K93" s="440"/>
      <c r="M93">
        <f>SUM(M91+M92)</f>
        <v>129733.2</v>
      </c>
    </row>
    <row r="94" spans="1:11" ht="24" thickTop="1">
      <c r="A94" s="146" t="s">
        <v>230</v>
      </c>
      <c r="B94" s="147" t="s">
        <v>231</v>
      </c>
      <c r="C94" s="147"/>
      <c r="D94" s="143"/>
      <c r="E94" s="143"/>
      <c r="F94" s="143"/>
      <c r="G94" s="143"/>
      <c r="H94" s="17"/>
      <c r="I94" s="17"/>
      <c r="J94" s="17"/>
      <c r="K94" s="145"/>
    </row>
    <row r="95" spans="1:11" ht="23.25">
      <c r="A95" s="411" t="s">
        <v>632</v>
      </c>
      <c r="B95" s="389"/>
      <c r="C95" s="389"/>
      <c r="D95" s="389"/>
      <c r="E95" s="389"/>
      <c r="F95" s="389"/>
      <c r="G95" s="389"/>
      <c r="H95" s="389"/>
      <c r="I95" s="389"/>
      <c r="J95" s="389"/>
      <c r="K95" s="403"/>
    </row>
    <row r="96" spans="1:11" ht="23.25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45"/>
    </row>
    <row r="97" spans="1:11" ht="23.25">
      <c r="A97" s="148" t="s">
        <v>177</v>
      </c>
      <c r="B97" s="143"/>
      <c r="C97" s="144"/>
      <c r="D97" s="148" t="s">
        <v>232</v>
      </c>
      <c r="E97" s="143"/>
      <c r="F97" s="143"/>
      <c r="G97" s="144"/>
      <c r="H97" s="147" t="s">
        <v>233</v>
      </c>
      <c r="I97" s="147"/>
      <c r="J97" s="143"/>
      <c r="K97" s="144"/>
    </row>
    <row r="98" spans="1:11" ht="23.25">
      <c r="A98" s="411"/>
      <c r="B98" s="389"/>
      <c r="C98" s="403"/>
      <c r="D98" s="411"/>
      <c r="E98" s="389"/>
      <c r="F98" s="389"/>
      <c r="G98" s="403"/>
      <c r="H98" s="411"/>
      <c r="I98" s="389"/>
      <c r="J98" s="389"/>
      <c r="K98" s="403"/>
    </row>
    <row r="99" spans="1:11" ht="23.25">
      <c r="A99" s="149"/>
      <c r="B99" s="150"/>
      <c r="C99" s="151"/>
      <c r="D99" s="149"/>
      <c r="E99" s="150"/>
      <c r="F99" s="150"/>
      <c r="G99" s="151"/>
      <c r="H99" s="150"/>
      <c r="I99" s="150"/>
      <c r="J99" s="150"/>
      <c r="K99" s="151"/>
    </row>
    <row r="100" spans="1:11" ht="23.25">
      <c r="A100" s="11" t="s">
        <v>0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23.25">
      <c r="A101" s="11"/>
      <c r="B101" s="11"/>
      <c r="C101" s="11"/>
      <c r="D101" s="11"/>
      <c r="E101" s="11"/>
      <c r="F101" s="11"/>
      <c r="G101" s="11"/>
      <c r="H101" s="11"/>
      <c r="I101" s="451" t="s">
        <v>633</v>
      </c>
      <c r="J101" s="451"/>
      <c r="K101" s="451"/>
    </row>
    <row r="102" spans="1:11" ht="23.25">
      <c r="A102" s="11"/>
      <c r="B102" s="11"/>
      <c r="C102" s="11"/>
      <c r="D102" s="11"/>
      <c r="E102" s="11"/>
      <c r="F102" s="11"/>
      <c r="G102" s="11"/>
      <c r="H102" s="11"/>
      <c r="I102" s="451" t="s">
        <v>634</v>
      </c>
      <c r="J102" s="451"/>
      <c r="K102" s="451"/>
    </row>
    <row r="103" spans="1:11" ht="26.25">
      <c r="A103" s="311" t="s">
        <v>227</v>
      </c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</row>
    <row r="104" spans="1:11" ht="23.25">
      <c r="A104" s="11" t="s">
        <v>591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23.25">
      <c r="A105" s="452" t="s">
        <v>2</v>
      </c>
      <c r="B105" s="453"/>
      <c r="C105" s="453"/>
      <c r="D105" s="453"/>
      <c r="E105" s="437"/>
      <c r="F105" s="437" t="s">
        <v>3</v>
      </c>
      <c r="G105" s="436"/>
      <c r="H105" s="436" t="s">
        <v>234</v>
      </c>
      <c r="I105" s="436"/>
      <c r="J105" s="436" t="s">
        <v>235</v>
      </c>
      <c r="K105" s="436"/>
    </row>
    <row r="106" spans="1:11" ht="23.25">
      <c r="A106" s="148" t="s">
        <v>234</v>
      </c>
      <c r="B106" s="17" t="s">
        <v>316</v>
      </c>
      <c r="C106" s="17"/>
      <c r="D106" s="145"/>
      <c r="E106" s="144"/>
      <c r="F106" s="420">
        <v>110203</v>
      </c>
      <c r="G106" s="421"/>
      <c r="H106" s="407">
        <f>SUM(J58)</f>
        <v>1474859.65</v>
      </c>
      <c r="I106" s="408"/>
      <c r="J106" s="407"/>
      <c r="K106" s="408"/>
    </row>
    <row r="107" spans="1:11" ht="23.25">
      <c r="A107" s="16"/>
      <c r="B107" s="160" t="s">
        <v>325</v>
      </c>
      <c r="C107" s="160"/>
      <c r="D107" s="160"/>
      <c r="E107" s="145"/>
      <c r="F107" s="411"/>
      <c r="G107" s="403"/>
      <c r="H107" s="405"/>
      <c r="I107" s="406"/>
      <c r="J107" s="405"/>
      <c r="K107" s="406"/>
    </row>
    <row r="108" spans="1:11" ht="23.25">
      <c r="A108" s="16"/>
      <c r="B108" s="160" t="s">
        <v>316</v>
      </c>
      <c r="C108" s="160"/>
      <c r="D108" s="160"/>
      <c r="E108" s="145"/>
      <c r="F108" s="411">
        <v>110203</v>
      </c>
      <c r="G108" s="403"/>
      <c r="H108" s="416">
        <v>0</v>
      </c>
      <c r="I108" s="417"/>
      <c r="J108" s="196"/>
      <c r="K108" s="162"/>
    </row>
    <row r="109" spans="1:11" ht="23.25">
      <c r="A109" s="16"/>
      <c r="B109" s="160" t="s">
        <v>381</v>
      </c>
      <c r="C109" s="160"/>
      <c r="D109" s="160"/>
      <c r="E109" s="145"/>
      <c r="F109" s="157"/>
      <c r="G109" s="158"/>
      <c r="H109" s="196"/>
      <c r="I109" s="162"/>
      <c r="J109" s="196"/>
      <c r="K109" s="162"/>
    </row>
    <row r="110" spans="1:11" ht="23.25">
      <c r="A110" s="16"/>
      <c r="B110" s="12"/>
      <c r="C110" s="11"/>
      <c r="D110" s="11"/>
      <c r="E110" s="145"/>
      <c r="F110" s="411"/>
      <c r="G110" s="403"/>
      <c r="H110" s="405"/>
      <c r="I110" s="406"/>
      <c r="J110" s="405"/>
      <c r="K110" s="406"/>
    </row>
    <row r="111" spans="1:11" ht="23.25">
      <c r="A111" s="16"/>
      <c r="B111" s="12" t="s">
        <v>235</v>
      </c>
      <c r="C111" s="11" t="s">
        <v>314</v>
      </c>
      <c r="D111" s="11"/>
      <c r="E111" s="145"/>
      <c r="F111" s="411">
        <v>110201</v>
      </c>
      <c r="G111" s="403"/>
      <c r="H111" s="405"/>
      <c r="I111" s="406"/>
      <c r="J111" s="405">
        <f>SUM(H106)</f>
        <v>1474859.65</v>
      </c>
      <c r="K111" s="406"/>
    </row>
    <row r="112" spans="1:11" ht="23.25">
      <c r="A112" s="16"/>
      <c r="B112" s="11"/>
      <c r="C112" s="11" t="s">
        <v>315</v>
      </c>
      <c r="D112" s="11"/>
      <c r="E112" s="145"/>
      <c r="F112" s="411"/>
      <c r="G112" s="403"/>
      <c r="H112" s="405"/>
      <c r="I112" s="406"/>
      <c r="J112" s="405"/>
      <c r="K112" s="406"/>
    </row>
    <row r="113" spans="1:11" ht="23.25">
      <c r="A113" s="16"/>
      <c r="B113" s="11"/>
      <c r="C113" s="11" t="s">
        <v>314</v>
      </c>
      <c r="D113" s="11"/>
      <c r="E113" s="145"/>
      <c r="F113" s="411">
        <v>110201</v>
      </c>
      <c r="G113" s="403"/>
      <c r="H113" s="405"/>
      <c r="I113" s="406"/>
      <c r="J113" s="416">
        <f>SUM(H108)</f>
        <v>0</v>
      </c>
      <c r="K113" s="417"/>
    </row>
    <row r="114" spans="1:11" ht="23.25">
      <c r="A114" s="16"/>
      <c r="B114" s="11"/>
      <c r="C114" s="11" t="s">
        <v>379</v>
      </c>
      <c r="D114" s="11"/>
      <c r="E114" s="145"/>
      <c r="F114" s="411"/>
      <c r="G114" s="403"/>
      <c r="H114" s="405"/>
      <c r="I114" s="406"/>
      <c r="J114" s="405"/>
      <c r="K114" s="406"/>
    </row>
    <row r="115" spans="1:11" ht="23.25">
      <c r="A115" s="16"/>
      <c r="B115" s="11"/>
      <c r="C115" s="11"/>
      <c r="D115" s="11"/>
      <c r="E115" s="145"/>
      <c r="F115" s="411"/>
      <c r="G115" s="403"/>
      <c r="H115" s="405"/>
      <c r="I115" s="406"/>
      <c r="J115" s="405"/>
      <c r="K115" s="406"/>
    </row>
    <row r="116" spans="1:11" ht="23.25">
      <c r="A116" s="16"/>
      <c r="B116" s="11"/>
      <c r="C116" s="11"/>
      <c r="D116" s="11"/>
      <c r="E116" s="145"/>
      <c r="F116" s="411"/>
      <c r="G116" s="403"/>
      <c r="H116" s="405"/>
      <c r="I116" s="406"/>
      <c r="J116" s="405"/>
      <c r="K116" s="406"/>
    </row>
    <row r="117" spans="1:11" ht="23.25">
      <c r="A117" s="157"/>
      <c r="B117" s="11"/>
      <c r="C117" s="11"/>
      <c r="D117" s="11"/>
      <c r="E117" s="145"/>
      <c r="F117" s="411"/>
      <c r="G117" s="403"/>
      <c r="H117" s="416"/>
      <c r="I117" s="417"/>
      <c r="J117" s="416"/>
      <c r="K117" s="417"/>
    </row>
    <row r="118" spans="1:11" ht="23.25">
      <c r="A118" s="159"/>
      <c r="B118" s="11"/>
      <c r="C118" s="11"/>
      <c r="D118" s="11"/>
      <c r="E118" s="145"/>
      <c r="F118" s="411"/>
      <c r="G118" s="403"/>
      <c r="H118" s="416"/>
      <c r="I118" s="417"/>
      <c r="J118" s="416"/>
      <c r="K118" s="417"/>
    </row>
    <row r="119" spans="1:11" ht="23.25">
      <c r="A119" s="16"/>
      <c r="B119" s="11"/>
      <c r="C119" s="11"/>
      <c r="D119" s="11"/>
      <c r="E119" s="145"/>
      <c r="F119" s="411"/>
      <c r="G119" s="403"/>
      <c r="H119" s="405"/>
      <c r="I119" s="406"/>
      <c r="J119" s="405"/>
      <c r="K119" s="406"/>
    </row>
    <row r="120" spans="1:11" ht="23.25">
      <c r="A120" s="16"/>
      <c r="B120" s="11"/>
      <c r="C120" s="11"/>
      <c r="D120" s="11"/>
      <c r="E120" s="145"/>
      <c r="F120" s="411"/>
      <c r="G120" s="403"/>
      <c r="H120" s="405"/>
      <c r="I120" s="406"/>
      <c r="J120" s="389"/>
      <c r="K120" s="403"/>
    </row>
    <row r="121" spans="1:11" ht="23.25">
      <c r="A121" s="16"/>
      <c r="B121" s="11"/>
      <c r="C121" s="11"/>
      <c r="D121" s="11"/>
      <c r="E121" s="145"/>
      <c r="F121" s="411"/>
      <c r="G121" s="403"/>
      <c r="H121" s="405"/>
      <c r="I121" s="406"/>
      <c r="J121" s="405"/>
      <c r="K121" s="406"/>
    </row>
    <row r="122" spans="1:11" ht="23.25">
      <c r="A122" s="16"/>
      <c r="B122" s="190"/>
      <c r="C122" s="17"/>
      <c r="D122" s="17"/>
      <c r="E122" s="145"/>
      <c r="F122" s="411"/>
      <c r="G122" s="403"/>
      <c r="H122" s="405"/>
      <c r="I122" s="406"/>
      <c r="J122" s="405"/>
      <c r="K122" s="406"/>
    </row>
    <row r="123" spans="1:11" ht="23.25">
      <c r="A123" s="159"/>
      <c r="B123" s="160"/>
      <c r="C123" s="160"/>
      <c r="D123" s="160"/>
      <c r="E123" s="160"/>
      <c r="F123" s="157"/>
      <c r="G123" s="158"/>
      <c r="H123" s="157"/>
      <c r="I123" s="158"/>
      <c r="J123" s="26"/>
      <c r="K123" s="158"/>
    </row>
    <row r="124" spans="1:11" ht="23.25">
      <c r="A124" s="16"/>
      <c r="B124" s="17"/>
      <c r="C124" s="17"/>
      <c r="D124" s="17"/>
      <c r="E124" s="145"/>
      <c r="F124" s="411"/>
      <c r="G124" s="403"/>
      <c r="H124" s="164"/>
      <c r="I124" s="162"/>
      <c r="J124" s="405"/>
      <c r="K124" s="406"/>
    </row>
    <row r="125" spans="1:11" ht="23.25">
      <c r="A125" s="16"/>
      <c r="B125" s="11"/>
      <c r="C125" s="11"/>
      <c r="D125" s="11"/>
      <c r="E125" s="145"/>
      <c r="F125" s="411"/>
      <c r="G125" s="403"/>
      <c r="H125" s="441"/>
      <c r="I125" s="406"/>
      <c r="J125" s="405"/>
      <c r="K125" s="406"/>
    </row>
    <row r="126" spans="1:11" ht="24" thickBot="1">
      <c r="A126" s="149"/>
      <c r="B126" s="150"/>
      <c r="C126" s="150"/>
      <c r="D126" s="150"/>
      <c r="E126" s="151"/>
      <c r="F126" s="411"/>
      <c r="G126" s="403"/>
      <c r="H126" s="438">
        <f>SUM(H106:H125)</f>
        <v>1474859.65</v>
      </c>
      <c r="I126" s="439"/>
      <c r="J126" s="423">
        <f>SUM(J106:J125)</f>
        <v>1474859.65</v>
      </c>
      <c r="K126" s="440"/>
    </row>
    <row r="127" spans="1:11" ht="24" thickTop="1">
      <c r="A127" s="146" t="s">
        <v>230</v>
      </c>
      <c r="B127" s="147" t="s">
        <v>231</v>
      </c>
      <c r="C127" s="147"/>
      <c r="D127" s="143"/>
      <c r="E127" s="143"/>
      <c r="F127" s="143"/>
      <c r="G127" s="143"/>
      <c r="H127" s="17"/>
      <c r="I127" s="17"/>
      <c r="J127" s="17"/>
      <c r="K127" s="145"/>
    </row>
    <row r="128" spans="1:11" ht="23.25">
      <c r="A128" s="418" t="s">
        <v>585</v>
      </c>
      <c r="B128" s="419"/>
      <c r="C128" s="419"/>
      <c r="D128" s="419"/>
      <c r="E128" s="419"/>
      <c r="F128" s="419"/>
      <c r="G128" s="419"/>
      <c r="H128" s="419"/>
      <c r="I128" s="419"/>
      <c r="J128" s="419"/>
      <c r="K128" s="443"/>
    </row>
    <row r="129" spans="1:13" ht="23.25">
      <c r="A129" s="414" t="s">
        <v>635</v>
      </c>
      <c r="B129" s="400"/>
      <c r="C129" s="400"/>
      <c r="D129" s="400"/>
      <c r="E129" s="400"/>
      <c r="F129" s="400"/>
      <c r="G129" s="400"/>
      <c r="H129" s="400"/>
      <c r="I129" s="400"/>
      <c r="J129" s="400"/>
      <c r="K129" s="415"/>
      <c r="M129">
        <v>11196920.07</v>
      </c>
    </row>
    <row r="130" spans="1:13" ht="23.25">
      <c r="A130" s="148" t="s">
        <v>177</v>
      </c>
      <c r="B130" s="143"/>
      <c r="C130" s="144"/>
      <c r="D130" s="148" t="s">
        <v>232</v>
      </c>
      <c r="E130" s="143"/>
      <c r="F130" s="143"/>
      <c r="G130" s="144"/>
      <c r="H130" s="147" t="s">
        <v>233</v>
      </c>
      <c r="I130" s="147"/>
      <c r="J130" s="143"/>
      <c r="K130" s="144"/>
      <c r="M130">
        <v>1591633.59</v>
      </c>
    </row>
    <row r="131" spans="1:13" ht="23.25">
      <c r="A131" s="411"/>
      <c r="B131" s="389"/>
      <c r="C131" s="403"/>
      <c r="D131" s="411"/>
      <c r="E131" s="389"/>
      <c r="F131" s="389"/>
      <c r="G131" s="403"/>
      <c r="H131" s="411"/>
      <c r="I131" s="389"/>
      <c r="J131" s="389"/>
      <c r="K131" s="403"/>
      <c r="M131">
        <f>SUM(M129-M130)</f>
        <v>9605286.48</v>
      </c>
    </row>
    <row r="132" spans="1:11" ht="23.25">
      <c r="A132" s="149"/>
      <c r="B132" s="150"/>
      <c r="C132" s="151"/>
      <c r="D132" s="149"/>
      <c r="E132" s="150"/>
      <c r="F132" s="150"/>
      <c r="G132" s="151"/>
      <c r="H132" s="150"/>
      <c r="I132" s="150"/>
      <c r="J132" s="150"/>
      <c r="K132" s="151"/>
    </row>
    <row r="133" spans="1:11" ht="23.25">
      <c r="A133" s="11" t="s">
        <v>0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23.25">
      <c r="A134" s="11"/>
      <c r="B134" s="11"/>
      <c r="C134" s="11"/>
      <c r="D134" s="11"/>
      <c r="E134" s="11"/>
      <c r="F134" s="11"/>
      <c r="G134" s="11"/>
      <c r="H134" s="11"/>
      <c r="I134" s="425" t="s">
        <v>404</v>
      </c>
      <c r="J134" s="425"/>
      <c r="K134" s="425"/>
    </row>
    <row r="135" spans="1:11" ht="23.25">
      <c r="A135" s="11"/>
      <c r="B135" s="11"/>
      <c r="C135" s="11"/>
      <c r="D135" s="11"/>
      <c r="E135" s="11"/>
      <c r="F135" s="11"/>
      <c r="G135" s="11"/>
      <c r="H135" s="11"/>
      <c r="I135" s="425" t="s">
        <v>405</v>
      </c>
      <c r="J135" s="425"/>
      <c r="K135" s="425"/>
    </row>
    <row r="136" spans="1:11" ht="26.25">
      <c r="A136" s="311" t="s">
        <v>227</v>
      </c>
      <c r="B136" s="311"/>
      <c r="C136" s="311"/>
      <c r="D136" s="311"/>
      <c r="E136" s="311"/>
      <c r="F136" s="311"/>
      <c r="G136" s="311"/>
      <c r="H136" s="311"/>
      <c r="I136" s="311"/>
      <c r="J136" s="311"/>
      <c r="K136" s="311"/>
    </row>
    <row r="137" spans="1:16" ht="23.25">
      <c r="A137" s="11" t="s">
        <v>228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P137" s="197"/>
    </row>
    <row r="138" spans="1:11" ht="23.25">
      <c r="A138" s="452" t="s">
        <v>2</v>
      </c>
      <c r="B138" s="453"/>
      <c r="C138" s="453"/>
      <c r="D138" s="453"/>
      <c r="E138" s="437"/>
      <c r="F138" s="437" t="s">
        <v>3</v>
      </c>
      <c r="G138" s="436"/>
      <c r="H138" s="436" t="s">
        <v>234</v>
      </c>
      <c r="I138" s="436"/>
      <c r="J138" s="436" t="s">
        <v>235</v>
      </c>
      <c r="K138" s="436"/>
    </row>
    <row r="139" spans="1:11" ht="23.25">
      <c r="A139" s="148" t="s">
        <v>234</v>
      </c>
      <c r="B139" s="458" t="s">
        <v>358</v>
      </c>
      <c r="C139" s="458"/>
      <c r="D139" s="458"/>
      <c r="E139" s="421"/>
      <c r="F139" s="459">
        <v>110201</v>
      </c>
      <c r="G139" s="460"/>
      <c r="H139" s="405">
        <v>3289760.53</v>
      </c>
      <c r="I139" s="406"/>
      <c r="J139" s="407"/>
      <c r="K139" s="408"/>
    </row>
    <row r="140" spans="1:11" ht="23.25">
      <c r="A140" s="16"/>
      <c r="B140" s="419" t="s">
        <v>359</v>
      </c>
      <c r="C140" s="419"/>
      <c r="D140" s="419"/>
      <c r="E140" s="443"/>
      <c r="F140" s="459">
        <v>110201</v>
      </c>
      <c r="G140" s="460"/>
      <c r="H140" s="405">
        <v>201085.17</v>
      </c>
      <c r="I140" s="406"/>
      <c r="J140" s="405"/>
      <c r="K140" s="406"/>
    </row>
    <row r="141" spans="1:14" ht="23.25">
      <c r="A141" s="16"/>
      <c r="B141" s="419" t="s">
        <v>360</v>
      </c>
      <c r="C141" s="419"/>
      <c r="D141" s="419"/>
      <c r="E141" s="443"/>
      <c r="F141" s="459">
        <v>110201</v>
      </c>
      <c r="G141" s="460"/>
      <c r="H141" s="416">
        <v>7286983.35</v>
      </c>
      <c r="I141" s="417"/>
      <c r="J141" s="196"/>
      <c r="K141" s="162"/>
      <c r="N141" s="5"/>
    </row>
    <row r="142" spans="1:11" ht="23.25">
      <c r="A142" s="16"/>
      <c r="B142" s="451" t="s">
        <v>361</v>
      </c>
      <c r="C142" s="451"/>
      <c r="D142" s="451"/>
      <c r="E142" s="443"/>
      <c r="F142" s="459">
        <v>110203</v>
      </c>
      <c r="G142" s="460"/>
      <c r="H142" s="416">
        <v>122977.38</v>
      </c>
      <c r="I142" s="417"/>
      <c r="J142" s="405"/>
      <c r="K142" s="406"/>
    </row>
    <row r="143" spans="1:11" ht="23.25">
      <c r="A143" s="16"/>
      <c r="B143" s="451"/>
      <c r="C143" s="451"/>
      <c r="D143" s="451"/>
      <c r="E143" s="443"/>
      <c r="F143" s="459"/>
      <c r="G143" s="460"/>
      <c r="H143" s="461"/>
      <c r="I143" s="462"/>
      <c r="J143" s="196"/>
      <c r="K143" s="162"/>
    </row>
    <row r="144" spans="1:11" ht="23.25">
      <c r="A144" s="16"/>
      <c r="B144" s="451" t="s">
        <v>362</v>
      </c>
      <c r="C144" s="451"/>
      <c r="D144" s="451"/>
      <c r="E144" s="443"/>
      <c r="F144" s="459">
        <v>210402</v>
      </c>
      <c r="G144" s="460"/>
      <c r="H144" s="416"/>
      <c r="I144" s="417"/>
      <c r="J144" s="405">
        <v>532638.76</v>
      </c>
      <c r="K144" s="406"/>
    </row>
    <row r="145" spans="1:11" ht="23.25">
      <c r="A145" s="16"/>
      <c r="B145" s="451" t="s">
        <v>363</v>
      </c>
      <c r="C145" s="451"/>
      <c r="D145" s="451"/>
      <c r="E145" s="443"/>
      <c r="F145" s="459">
        <v>210500</v>
      </c>
      <c r="G145" s="460"/>
      <c r="H145" s="405"/>
      <c r="I145" s="406"/>
      <c r="J145" s="405">
        <v>498870</v>
      </c>
      <c r="K145" s="406"/>
    </row>
    <row r="146" spans="1:11" ht="23.25">
      <c r="A146" s="16"/>
      <c r="B146" s="451" t="s">
        <v>364</v>
      </c>
      <c r="C146" s="451"/>
      <c r="D146" s="451"/>
      <c r="E146" s="443"/>
      <c r="F146" s="459">
        <v>230105</v>
      </c>
      <c r="G146" s="460"/>
      <c r="H146" s="405"/>
      <c r="I146" s="406"/>
      <c r="J146" s="405">
        <v>1496.6</v>
      </c>
      <c r="K146" s="406"/>
    </row>
    <row r="147" spans="1:11" ht="23.25">
      <c r="A147" s="16"/>
      <c r="B147" s="451" t="s">
        <v>365</v>
      </c>
      <c r="C147" s="451"/>
      <c r="D147" s="451"/>
      <c r="E147" s="443"/>
      <c r="F147" s="459">
        <v>230106</v>
      </c>
      <c r="G147" s="460"/>
      <c r="H147" s="405"/>
      <c r="I147" s="406"/>
      <c r="J147" s="405">
        <v>1795.92</v>
      </c>
      <c r="K147" s="406"/>
    </row>
    <row r="148" spans="1:11" ht="23.25">
      <c r="A148" s="16"/>
      <c r="B148" s="451" t="s">
        <v>366</v>
      </c>
      <c r="C148" s="451"/>
      <c r="D148" s="451"/>
      <c r="E148" s="443"/>
      <c r="F148" s="459">
        <v>230108</v>
      </c>
      <c r="G148" s="460"/>
      <c r="H148" s="405"/>
      <c r="I148" s="406"/>
      <c r="J148" s="405">
        <v>143702</v>
      </c>
      <c r="K148" s="406"/>
    </row>
    <row r="149" spans="1:11" ht="23.25">
      <c r="A149" s="157"/>
      <c r="B149" s="451" t="s">
        <v>367</v>
      </c>
      <c r="C149" s="451"/>
      <c r="D149" s="451"/>
      <c r="E149" s="443"/>
      <c r="F149" s="459"/>
      <c r="G149" s="460"/>
      <c r="H149" s="416"/>
      <c r="I149" s="417"/>
      <c r="J149" s="416">
        <v>201085.17</v>
      </c>
      <c r="K149" s="417"/>
    </row>
    <row r="150" spans="1:11" ht="23.25">
      <c r="A150" s="157"/>
      <c r="B150" s="177"/>
      <c r="C150" s="177" t="s">
        <v>406</v>
      </c>
      <c r="D150" s="177"/>
      <c r="E150" s="161"/>
      <c r="F150" s="227"/>
      <c r="G150" s="228"/>
      <c r="H150" s="202"/>
      <c r="I150" s="203"/>
      <c r="J150" s="202"/>
      <c r="K150" s="203">
        <v>44700</v>
      </c>
    </row>
    <row r="151" spans="1:11" ht="23.25">
      <c r="A151" s="16"/>
      <c r="B151" s="451" t="s">
        <v>368</v>
      </c>
      <c r="C151" s="451"/>
      <c r="D151" s="451"/>
      <c r="E151" s="443"/>
      <c r="F151" s="459">
        <v>300000</v>
      </c>
      <c r="G151" s="460"/>
      <c r="H151" s="405"/>
      <c r="I151" s="406"/>
      <c r="J151" s="405">
        <v>2432497.67</v>
      </c>
      <c r="K151" s="406"/>
    </row>
    <row r="152" spans="1:11" ht="23.25">
      <c r="A152" s="16"/>
      <c r="B152" s="451" t="s">
        <v>369</v>
      </c>
      <c r="C152" s="451"/>
      <c r="D152" s="451"/>
      <c r="E152" s="443"/>
      <c r="F152" s="411">
        <v>320000</v>
      </c>
      <c r="G152" s="403"/>
      <c r="H152" s="405"/>
      <c r="I152" s="406"/>
      <c r="J152" s="398">
        <v>7044020.31</v>
      </c>
      <c r="K152" s="381"/>
    </row>
    <row r="153" spans="1:11" ht="23.25">
      <c r="A153" s="16"/>
      <c r="B153" s="419"/>
      <c r="C153" s="419"/>
      <c r="D153" s="419"/>
      <c r="E153" s="443"/>
      <c r="F153" s="411"/>
      <c r="G153" s="403"/>
      <c r="H153" s="405"/>
      <c r="I153" s="406"/>
      <c r="J153" s="405"/>
      <c r="K153" s="406"/>
    </row>
    <row r="154" spans="1:11" ht="23.25">
      <c r="A154" s="159"/>
      <c r="B154" s="419"/>
      <c r="C154" s="419"/>
      <c r="D154" s="419"/>
      <c r="E154" s="443"/>
      <c r="F154" s="411"/>
      <c r="G154" s="403"/>
      <c r="H154" s="380"/>
      <c r="I154" s="381"/>
      <c r="J154" s="26"/>
      <c r="K154" s="158"/>
    </row>
    <row r="155" spans="1:11" ht="23.25">
      <c r="A155" s="159"/>
      <c r="B155" s="419"/>
      <c r="C155" s="419"/>
      <c r="D155" s="419"/>
      <c r="E155" s="443"/>
      <c r="F155" s="411"/>
      <c r="G155" s="403"/>
      <c r="H155" s="380"/>
      <c r="I155" s="381"/>
      <c r="J155" s="26"/>
      <c r="K155" s="158"/>
    </row>
    <row r="156" spans="1:11" ht="23.25">
      <c r="A156" s="159"/>
      <c r="B156" s="419"/>
      <c r="C156" s="419"/>
      <c r="D156" s="419"/>
      <c r="E156" s="443"/>
      <c r="F156" s="411"/>
      <c r="G156" s="403"/>
      <c r="H156" s="401"/>
      <c r="I156" s="402"/>
      <c r="J156" s="26"/>
      <c r="K156" s="158"/>
    </row>
    <row r="157" spans="1:11" ht="24" thickBot="1">
      <c r="A157" s="149"/>
      <c r="B157" s="319"/>
      <c r="C157" s="319"/>
      <c r="D157" s="319"/>
      <c r="E157" s="320"/>
      <c r="F157" s="411"/>
      <c r="G157" s="403"/>
      <c r="H157" s="438">
        <f>SUM(H139:I156)</f>
        <v>10900806.43</v>
      </c>
      <c r="I157" s="439"/>
      <c r="J157" s="423">
        <f>SUM(J142:K154)</f>
        <v>10900806.43</v>
      </c>
      <c r="K157" s="440"/>
    </row>
    <row r="158" spans="1:11" ht="24" thickTop="1">
      <c r="A158" s="146" t="s">
        <v>230</v>
      </c>
      <c r="B158" s="147" t="s">
        <v>231</v>
      </c>
      <c r="C158" s="147"/>
      <c r="D158" s="143"/>
      <c r="E158" s="143"/>
      <c r="F158" s="143"/>
      <c r="G158" s="143"/>
      <c r="H158" s="17"/>
      <c r="I158" s="17"/>
      <c r="J158" s="17"/>
      <c r="K158" s="145"/>
    </row>
    <row r="159" spans="1:11" ht="23.25">
      <c r="A159" s="200"/>
      <c r="B159" s="190"/>
      <c r="C159" s="190"/>
      <c r="D159" s="17"/>
      <c r="E159" s="17"/>
      <c r="F159" s="17"/>
      <c r="G159" s="17"/>
      <c r="H159" s="17"/>
      <c r="I159" s="17"/>
      <c r="J159" s="17"/>
      <c r="K159" s="145"/>
    </row>
    <row r="160" spans="1:11" ht="23.25">
      <c r="A160" s="418" t="s">
        <v>407</v>
      </c>
      <c r="B160" s="419"/>
      <c r="C160" s="419"/>
      <c r="D160" s="419"/>
      <c r="E160" s="419"/>
      <c r="F160" s="419"/>
      <c r="G160" s="419"/>
      <c r="H160" s="419"/>
      <c r="I160" s="419"/>
      <c r="J160" s="419"/>
      <c r="K160" s="443"/>
    </row>
    <row r="161" spans="1:11" ht="23.25">
      <c r="A161" s="159"/>
      <c r="B161" s="160"/>
      <c r="C161" s="160"/>
      <c r="D161" s="160"/>
      <c r="E161" s="160"/>
      <c r="F161" s="160"/>
      <c r="G161" s="160"/>
      <c r="H161" s="160"/>
      <c r="I161" s="160"/>
      <c r="J161" s="160"/>
      <c r="K161" s="161"/>
    </row>
    <row r="162" spans="1:11" ht="23.25">
      <c r="A162" s="148" t="s">
        <v>177</v>
      </c>
      <c r="B162" s="143"/>
      <c r="C162" s="144"/>
      <c r="D162" s="148" t="s">
        <v>232</v>
      </c>
      <c r="E162" s="143"/>
      <c r="F162" s="143"/>
      <c r="G162" s="144"/>
      <c r="H162" s="147" t="s">
        <v>233</v>
      </c>
      <c r="I162" s="147"/>
      <c r="J162" s="143"/>
      <c r="K162" s="144"/>
    </row>
    <row r="163" spans="1:11" ht="23.25">
      <c r="A163" s="411"/>
      <c r="B163" s="389"/>
      <c r="C163" s="403"/>
      <c r="D163" s="411"/>
      <c r="E163" s="389"/>
      <c r="F163" s="389"/>
      <c r="G163" s="403"/>
      <c r="H163" s="411"/>
      <c r="I163" s="389"/>
      <c r="J163" s="389"/>
      <c r="K163" s="403"/>
    </row>
    <row r="164" spans="1:11" ht="23.25">
      <c r="A164" s="149"/>
      <c r="B164" s="150"/>
      <c r="C164" s="151"/>
      <c r="D164" s="149"/>
      <c r="E164" s="150"/>
      <c r="F164" s="150"/>
      <c r="G164" s="151"/>
      <c r="H164" s="150"/>
      <c r="I164" s="150"/>
      <c r="J164" s="150"/>
      <c r="K164" s="151"/>
    </row>
    <row r="166" spans="1:11" ht="23.25">
      <c r="A166" s="11" t="s">
        <v>0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23.25">
      <c r="A167" s="11"/>
      <c r="B167" s="11"/>
      <c r="C167" s="11"/>
      <c r="D167" s="11"/>
      <c r="E167" s="11"/>
      <c r="F167" s="11"/>
      <c r="G167" s="11"/>
      <c r="H167" s="11"/>
      <c r="I167" s="451" t="s">
        <v>403</v>
      </c>
      <c r="J167" s="451"/>
      <c r="K167" s="451"/>
    </row>
    <row r="168" spans="1:11" ht="23.25">
      <c r="A168" s="11"/>
      <c r="B168" s="11"/>
      <c r="C168" s="11"/>
      <c r="D168" s="11"/>
      <c r="E168" s="11"/>
      <c r="F168" s="11"/>
      <c r="G168" s="11"/>
      <c r="H168" s="11"/>
      <c r="I168" s="451" t="s">
        <v>408</v>
      </c>
      <c r="J168" s="451"/>
      <c r="K168" s="451"/>
    </row>
    <row r="169" spans="1:11" ht="26.25">
      <c r="A169" s="311" t="s">
        <v>227</v>
      </c>
      <c r="B169" s="311"/>
      <c r="C169" s="311"/>
      <c r="D169" s="311"/>
      <c r="E169" s="311"/>
      <c r="F169" s="311"/>
      <c r="G169" s="311"/>
      <c r="H169" s="311"/>
      <c r="I169" s="311"/>
      <c r="J169" s="311"/>
      <c r="K169" s="311"/>
    </row>
    <row r="170" spans="1:11" ht="23.25">
      <c r="A170" s="11" t="s">
        <v>228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23.25">
      <c r="A171" s="452" t="s">
        <v>2</v>
      </c>
      <c r="B171" s="453"/>
      <c r="C171" s="453"/>
      <c r="D171" s="453"/>
      <c r="E171" s="437"/>
      <c r="F171" s="437" t="s">
        <v>3</v>
      </c>
      <c r="G171" s="436"/>
      <c r="H171" s="436" t="s">
        <v>234</v>
      </c>
      <c r="I171" s="436"/>
      <c r="J171" s="436" t="s">
        <v>235</v>
      </c>
      <c r="K171" s="436"/>
    </row>
    <row r="172" spans="1:11" ht="23.25">
      <c r="A172" s="148"/>
      <c r="B172" s="458" t="s">
        <v>35</v>
      </c>
      <c r="C172" s="458"/>
      <c r="D172" s="458"/>
      <c r="E172" s="421"/>
      <c r="F172" s="420"/>
      <c r="G172" s="421"/>
      <c r="H172" s="407">
        <f>SUM(H390)</f>
        <v>8443364.16</v>
      </c>
      <c r="I172" s="408"/>
      <c r="J172" s="407"/>
      <c r="K172" s="408"/>
    </row>
    <row r="173" spans="1:11" ht="23.25">
      <c r="A173" s="189" t="s">
        <v>424</v>
      </c>
      <c r="B173" s="419" t="s">
        <v>388</v>
      </c>
      <c r="C173" s="419"/>
      <c r="D173" s="419"/>
      <c r="E173" s="443"/>
      <c r="F173" s="411">
        <v>421012</v>
      </c>
      <c r="G173" s="403"/>
      <c r="H173" s="416">
        <v>40176.88</v>
      </c>
      <c r="I173" s="417"/>
      <c r="J173" s="196"/>
      <c r="K173" s="162"/>
    </row>
    <row r="174" spans="1:11" ht="23.25">
      <c r="A174" s="16"/>
      <c r="B174" s="451" t="s">
        <v>341</v>
      </c>
      <c r="C174" s="451"/>
      <c r="D174" s="451"/>
      <c r="E174" s="443"/>
      <c r="F174" s="411">
        <v>421013</v>
      </c>
      <c r="G174" s="403"/>
      <c r="H174" s="405">
        <v>15589.18</v>
      </c>
      <c r="I174" s="406"/>
      <c r="J174" s="405"/>
      <c r="K174" s="406"/>
    </row>
    <row r="175" spans="1:11" ht="23.25">
      <c r="A175" s="16"/>
      <c r="B175" s="451" t="s">
        <v>347</v>
      </c>
      <c r="C175" s="451"/>
      <c r="D175" s="451"/>
      <c r="E175" s="443"/>
      <c r="F175" s="411">
        <v>421014</v>
      </c>
      <c r="G175" s="403"/>
      <c r="H175" s="405">
        <v>1001</v>
      </c>
      <c r="I175" s="406"/>
      <c r="J175" s="405"/>
      <c r="K175" s="406"/>
    </row>
    <row r="176" spans="1:11" ht="23.25">
      <c r="A176" s="16"/>
      <c r="B176" s="451" t="s">
        <v>348</v>
      </c>
      <c r="C176" s="451"/>
      <c r="D176" s="451"/>
      <c r="E176" s="443"/>
      <c r="F176" s="411">
        <v>421015</v>
      </c>
      <c r="G176" s="403"/>
      <c r="H176" s="405">
        <v>230026</v>
      </c>
      <c r="I176" s="406"/>
      <c r="J176" s="405"/>
      <c r="K176" s="406"/>
    </row>
    <row r="177" spans="1:11" ht="23.25">
      <c r="A177" s="16"/>
      <c r="B177" s="451" t="s">
        <v>349</v>
      </c>
      <c r="C177" s="451"/>
      <c r="D177" s="451"/>
      <c r="E177" s="443"/>
      <c r="F177" s="411">
        <v>431002</v>
      </c>
      <c r="G177" s="403"/>
      <c r="H177" s="405">
        <v>3522759</v>
      </c>
      <c r="I177" s="406"/>
      <c r="J177" s="405"/>
      <c r="K177" s="406"/>
    </row>
    <row r="178" spans="1:11" ht="23.25">
      <c r="A178" s="16"/>
      <c r="B178" s="451" t="s">
        <v>350</v>
      </c>
      <c r="C178" s="451"/>
      <c r="D178" s="451"/>
      <c r="E178" s="443"/>
      <c r="F178" s="411">
        <v>441001</v>
      </c>
      <c r="G178" s="403"/>
      <c r="H178" s="405">
        <v>302984.38</v>
      </c>
      <c r="I178" s="406"/>
      <c r="J178" s="405"/>
      <c r="K178" s="406"/>
    </row>
    <row r="179" spans="1:11" ht="23.25">
      <c r="A179" s="16"/>
      <c r="B179" s="451" t="s">
        <v>426</v>
      </c>
      <c r="C179" s="451"/>
      <c r="D179" s="451"/>
      <c r="E179" s="443"/>
      <c r="F179" s="411">
        <v>441002</v>
      </c>
      <c r="G179" s="403"/>
      <c r="H179" s="405">
        <v>3723900</v>
      </c>
      <c r="I179" s="406"/>
      <c r="J179" s="405"/>
      <c r="K179" s="406"/>
    </row>
    <row r="180" spans="1:11" ht="23.25">
      <c r="A180" s="16"/>
      <c r="B180" s="451" t="s">
        <v>351</v>
      </c>
      <c r="C180" s="451"/>
      <c r="D180" s="451"/>
      <c r="E180" s="443"/>
      <c r="F180" s="411">
        <v>441000</v>
      </c>
      <c r="G180" s="403"/>
      <c r="H180" s="405">
        <v>10000</v>
      </c>
      <c r="I180" s="406"/>
      <c r="J180" s="405"/>
      <c r="K180" s="406"/>
    </row>
    <row r="181" spans="1:11" ht="23.25">
      <c r="A181" s="16"/>
      <c r="B181" s="451" t="s">
        <v>428</v>
      </c>
      <c r="C181" s="451"/>
      <c r="D181" s="451"/>
      <c r="E181" s="443"/>
      <c r="F181" s="411">
        <v>441000</v>
      </c>
      <c r="G181" s="403"/>
      <c r="H181" s="405">
        <v>8000</v>
      </c>
      <c r="I181" s="406"/>
      <c r="J181" s="405"/>
      <c r="K181" s="406"/>
    </row>
    <row r="182" spans="1:11" ht="23.25">
      <c r="A182" s="16"/>
      <c r="B182" s="177" t="s">
        <v>429</v>
      </c>
      <c r="C182" s="177"/>
      <c r="D182" s="177"/>
      <c r="E182" s="161"/>
      <c r="F182" s="411">
        <v>441000</v>
      </c>
      <c r="G182" s="403"/>
      <c r="H182" s="416">
        <v>7500</v>
      </c>
      <c r="I182" s="417"/>
      <c r="J182" s="196"/>
      <c r="K182" s="162"/>
    </row>
    <row r="183" spans="1:11" ht="23.25">
      <c r="A183" s="157"/>
      <c r="B183" s="177" t="s">
        <v>427</v>
      </c>
      <c r="C183" s="177"/>
      <c r="D183" s="177"/>
      <c r="E183" s="161"/>
      <c r="F183" s="411">
        <v>441002</v>
      </c>
      <c r="G183" s="403"/>
      <c r="H183" s="416">
        <v>267000</v>
      </c>
      <c r="I183" s="417"/>
      <c r="J183" s="416"/>
      <c r="K183" s="417"/>
    </row>
    <row r="184" spans="1:11" ht="23.25">
      <c r="A184" s="159"/>
      <c r="B184" s="212" t="s">
        <v>235</v>
      </c>
      <c r="C184" s="451" t="s">
        <v>430</v>
      </c>
      <c r="D184" s="451"/>
      <c r="E184" s="443"/>
      <c r="F184" s="411">
        <v>510000</v>
      </c>
      <c r="G184" s="403"/>
      <c r="H184" s="416"/>
      <c r="I184" s="417"/>
      <c r="J184" s="416">
        <v>307394.5</v>
      </c>
      <c r="K184" s="417"/>
    </row>
    <row r="185" spans="1:11" ht="23.25">
      <c r="A185" s="16"/>
      <c r="B185" s="210"/>
      <c r="C185" s="451" t="s">
        <v>352</v>
      </c>
      <c r="D185" s="451"/>
      <c r="E185" s="443"/>
      <c r="F185" s="411">
        <v>521000</v>
      </c>
      <c r="G185" s="403"/>
      <c r="H185" s="441"/>
      <c r="I185" s="406"/>
      <c r="J185" s="405">
        <v>1724769</v>
      </c>
      <c r="K185" s="406"/>
    </row>
    <row r="186" spans="1:13" ht="23.25">
      <c r="A186" s="16"/>
      <c r="B186" s="210"/>
      <c r="C186" s="419" t="s">
        <v>353</v>
      </c>
      <c r="D186" s="419"/>
      <c r="E186" s="443"/>
      <c r="F186" s="411">
        <v>522000</v>
      </c>
      <c r="G186" s="403"/>
      <c r="H186" s="431"/>
      <c r="I186" s="432"/>
      <c r="J186" s="431">
        <v>2667239</v>
      </c>
      <c r="K186" s="432"/>
      <c r="M186" s="215">
        <f>SUM(H192)</f>
        <v>16572300.600000001</v>
      </c>
    </row>
    <row r="187" spans="1:13" ht="23.25">
      <c r="A187" s="16"/>
      <c r="B187" s="210"/>
      <c r="C187" s="419" t="s">
        <v>319</v>
      </c>
      <c r="D187" s="419"/>
      <c r="E187" s="443"/>
      <c r="F187" s="411">
        <v>531000</v>
      </c>
      <c r="G187" s="403"/>
      <c r="H187" s="431"/>
      <c r="I187" s="432"/>
      <c r="J187" s="431">
        <v>896741</v>
      </c>
      <c r="K187" s="432"/>
      <c r="M187">
        <v>16572300.6</v>
      </c>
    </row>
    <row r="188" spans="1:13" ht="23.25">
      <c r="A188" s="16"/>
      <c r="B188" s="211"/>
      <c r="C188" s="419" t="s">
        <v>320</v>
      </c>
      <c r="D188" s="419"/>
      <c r="E188" s="443"/>
      <c r="F188" s="411">
        <v>532000</v>
      </c>
      <c r="G188" s="403"/>
      <c r="H188" s="442"/>
      <c r="I188" s="399"/>
      <c r="J188" s="442">
        <v>1456545.14</v>
      </c>
      <c r="K188" s="399"/>
      <c r="M188" s="215">
        <f>SUM(M186-M187)</f>
        <v>1.862645149230957E-09</v>
      </c>
    </row>
    <row r="189" spans="1:11" ht="23.25">
      <c r="A189" s="159"/>
      <c r="B189" s="169"/>
      <c r="C189" s="419" t="s">
        <v>321</v>
      </c>
      <c r="D189" s="419"/>
      <c r="E189" s="443"/>
      <c r="F189" s="411">
        <v>533000</v>
      </c>
      <c r="G189" s="403"/>
      <c r="H189" s="431"/>
      <c r="I189" s="432"/>
      <c r="J189" s="431">
        <v>902499.4</v>
      </c>
      <c r="K189" s="432"/>
    </row>
    <row r="190" spans="1:11" ht="23.25">
      <c r="A190" s="16"/>
      <c r="B190" s="169"/>
      <c r="C190" s="419" t="s">
        <v>322</v>
      </c>
      <c r="D190" s="419"/>
      <c r="E190" s="443"/>
      <c r="F190" s="411">
        <v>534000</v>
      </c>
      <c r="G190" s="403"/>
      <c r="H190" s="431"/>
      <c r="I190" s="432"/>
      <c r="J190" s="431">
        <v>124746.49</v>
      </c>
      <c r="K190" s="432"/>
    </row>
    <row r="191" spans="1:11" ht="23.25">
      <c r="A191" s="16"/>
      <c r="B191" s="210"/>
      <c r="C191" s="419" t="s">
        <v>335</v>
      </c>
      <c r="D191" s="419"/>
      <c r="E191" s="443"/>
      <c r="F191" s="411">
        <v>541000</v>
      </c>
      <c r="G191" s="403"/>
      <c r="H191" s="431"/>
      <c r="I191" s="432"/>
      <c r="J191" s="431">
        <v>311590</v>
      </c>
      <c r="K191" s="432"/>
    </row>
    <row r="192" spans="1:11" ht="24" thickBot="1">
      <c r="A192" s="149"/>
      <c r="B192" s="150" t="s">
        <v>58</v>
      </c>
      <c r="C192" s="150"/>
      <c r="D192" s="150"/>
      <c r="E192" s="151"/>
      <c r="F192" s="411"/>
      <c r="G192" s="403"/>
      <c r="H192" s="438">
        <f>SUM(H172:I191)</f>
        <v>16572300.600000001</v>
      </c>
      <c r="I192" s="439"/>
      <c r="J192" s="423">
        <f>SUM(J184:K191)</f>
        <v>8391524.530000001</v>
      </c>
      <c r="K192" s="440"/>
    </row>
    <row r="193" spans="1:11" ht="24" thickTop="1">
      <c r="A193" s="146" t="s">
        <v>230</v>
      </c>
      <c r="B193" s="147" t="s">
        <v>231</v>
      </c>
      <c r="C193" s="147"/>
      <c r="D193" s="143"/>
      <c r="E193" s="143"/>
      <c r="F193" s="143"/>
      <c r="G193" s="143"/>
      <c r="H193" s="17"/>
      <c r="I193" s="17"/>
      <c r="J193" s="17"/>
      <c r="K193" s="145"/>
    </row>
    <row r="194" spans="1:11" ht="23.25">
      <c r="A194" s="418" t="s">
        <v>357</v>
      </c>
      <c r="B194" s="419"/>
      <c r="C194" s="419"/>
      <c r="D194" s="419"/>
      <c r="E194" s="419"/>
      <c r="F194" s="419"/>
      <c r="G194" s="419"/>
      <c r="H194" s="419"/>
      <c r="I194" s="419"/>
      <c r="J194" s="419"/>
      <c r="K194" s="443"/>
    </row>
    <row r="195" spans="1:11" ht="23.25">
      <c r="A195" s="16"/>
      <c r="B195" s="17"/>
      <c r="C195" s="17"/>
      <c r="D195" s="17"/>
      <c r="E195" s="17"/>
      <c r="F195" s="17"/>
      <c r="G195" s="17"/>
      <c r="H195" s="17"/>
      <c r="I195" s="17"/>
      <c r="J195" s="17"/>
      <c r="K195" s="145"/>
    </row>
    <row r="196" spans="1:11" ht="23.25">
      <c r="A196" s="148" t="s">
        <v>177</v>
      </c>
      <c r="B196" s="143"/>
      <c r="C196" s="144"/>
      <c r="D196" s="148" t="s">
        <v>232</v>
      </c>
      <c r="E196" s="143"/>
      <c r="F196" s="143"/>
      <c r="G196" s="144"/>
      <c r="H196" s="147" t="s">
        <v>233</v>
      </c>
      <c r="I196" s="147"/>
      <c r="J196" s="143"/>
      <c r="K196" s="144"/>
    </row>
    <row r="197" spans="1:11" ht="23.25">
      <c r="A197" s="411"/>
      <c r="B197" s="389"/>
      <c r="C197" s="403"/>
      <c r="D197" s="411"/>
      <c r="E197" s="389"/>
      <c r="F197" s="389"/>
      <c r="G197" s="403"/>
      <c r="H197" s="411"/>
      <c r="I197" s="389"/>
      <c r="J197" s="389"/>
      <c r="K197" s="403"/>
    </row>
    <row r="198" spans="1:11" ht="23.25">
      <c r="A198" s="149"/>
      <c r="B198" s="150"/>
      <c r="C198" s="151"/>
      <c r="D198" s="149"/>
      <c r="E198" s="150"/>
      <c r="F198" s="150"/>
      <c r="G198" s="151"/>
      <c r="H198" s="150"/>
      <c r="I198" s="150"/>
      <c r="J198" s="150"/>
      <c r="K198" s="151"/>
    </row>
    <row r="201" spans="1:11" ht="23.25">
      <c r="A201" s="12" t="s">
        <v>0</v>
      </c>
      <c r="B201" s="12"/>
      <c r="C201" s="12"/>
      <c r="D201" s="11"/>
      <c r="E201" s="11"/>
      <c r="F201" s="11"/>
      <c r="G201" s="11"/>
      <c r="H201" s="11"/>
      <c r="I201" s="11"/>
      <c r="J201" s="11"/>
      <c r="K201" s="11"/>
    </row>
    <row r="202" spans="1:11" ht="23.25">
      <c r="A202" s="11"/>
      <c r="B202" s="11"/>
      <c r="C202" s="11"/>
      <c r="D202" s="11"/>
      <c r="E202" s="11"/>
      <c r="F202" s="11"/>
      <c r="G202" s="11"/>
      <c r="H202" s="11"/>
      <c r="I202" s="425" t="s">
        <v>403</v>
      </c>
      <c r="J202" s="425"/>
      <c r="K202" s="425"/>
    </row>
    <row r="203" spans="1:11" ht="23.25">
      <c r="A203" s="11"/>
      <c r="B203" s="11"/>
      <c r="C203" s="11"/>
      <c r="D203" s="11"/>
      <c r="E203" s="11"/>
      <c r="F203" s="11"/>
      <c r="G203" s="11"/>
      <c r="H203" s="11"/>
      <c r="I203" s="425" t="s">
        <v>409</v>
      </c>
      <c r="J203" s="425"/>
      <c r="K203" s="425"/>
    </row>
    <row r="204" spans="1:11" ht="26.25">
      <c r="A204" s="311" t="s">
        <v>227</v>
      </c>
      <c r="B204" s="311"/>
      <c r="C204" s="311"/>
      <c r="D204" s="311"/>
      <c r="E204" s="311"/>
      <c r="F204" s="311"/>
      <c r="G204" s="311"/>
      <c r="H204" s="311"/>
      <c r="I204" s="311"/>
      <c r="J204" s="311"/>
      <c r="K204" s="311"/>
    </row>
    <row r="205" spans="1:11" ht="23.25">
      <c r="A205" s="435" t="s">
        <v>228</v>
      </c>
      <c r="B205" s="435"/>
      <c r="C205" s="435"/>
      <c r="D205" s="11"/>
      <c r="E205" s="11"/>
      <c r="F205" s="11"/>
      <c r="G205" s="11"/>
      <c r="H205" s="11"/>
      <c r="I205" s="11"/>
      <c r="J205" s="11"/>
      <c r="K205" s="11"/>
    </row>
    <row r="206" spans="1:11" ht="23.25">
      <c r="A206" s="436" t="s">
        <v>2</v>
      </c>
      <c r="B206" s="436"/>
      <c r="C206" s="436"/>
      <c r="D206" s="436"/>
      <c r="E206" s="436"/>
      <c r="F206" s="437" t="s">
        <v>3</v>
      </c>
      <c r="G206" s="436"/>
      <c r="H206" s="436" t="s">
        <v>234</v>
      </c>
      <c r="I206" s="436"/>
      <c r="J206" s="436" t="s">
        <v>235</v>
      </c>
      <c r="K206" s="436"/>
    </row>
    <row r="207" spans="1:11" ht="23.25">
      <c r="A207" s="426" t="s">
        <v>35</v>
      </c>
      <c r="B207" s="427"/>
      <c r="C207" s="427"/>
      <c r="D207" s="427"/>
      <c r="E207" s="428"/>
      <c r="F207" s="420"/>
      <c r="G207" s="421"/>
      <c r="H207" s="429">
        <f>SUM(H192)</f>
        <v>16572300.600000001</v>
      </c>
      <c r="I207" s="430"/>
      <c r="J207" s="429">
        <f>SUM(J192)</f>
        <v>8391524.530000001</v>
      </c>
      <c r="K207" s="430"/>
    </row>
    <row r="208" spans="2:11" ht="23.25">
      <c r="B208" s="169"/>
      <c r="C208" s="419" t="s">
        <v>354</v>
      </c>
      <c r="D208" s="419"/>
      <c r="E208" s="443"/>
      <c r="F208" s="411">
        <v>542000</v>
      </c>
      <c r="G208" s="403"/>
      <c r="H208" s="431"/>
      <c r="I208" s="432"/>
      <c r="J208" s="431">
        <v>819540</v>
      </c>
      <c r="K208" s="432"/>
    </row>
    <row r="209" spans="1:11" ht="23.25">
      <c r="A209" s="168"/>
      <c r="B209" s="169"/>
      <c r="C209" s="419" t="s">
        <v>334</v>
      </c>
      <c r="D209" s="419"/>
      <c r="E209" s="443"/>
      <c r="F209" s="411">
        <v>561000</v>
      </c>
      <c r="G209" s="403"/>
      <c r="H209" s="431"/>
      <c r="I209" s="432"/>
      <c r="J209" s="431">
        <v>451100</v>
      </c>
      <c r="K209" s="432"/>
    </row>
    <row r="210" spans="1:11" ht="23.25">
      <c r="A210" s="168"/>
      <c r="B210" s="169"/>
      <c r="C210" s="419" t="s">
        <v>355</v>
      </c>
      <c r="D210" s="419"/>
      <c r="E210" s="443"/>
      <c r="F210" s="411">
        <v>441000</v>
      </c>
      <c r="G210" s="403"/>
      <c r="H210" s="431"/>
      <c r="I210" s="432"/>
      <c r="J210" s="431">
        <v>4305793</v>
      </c>
      <c r="K210" s="432"/>
    </row>
    <row r="211" spans="1:19" ht="23.25">
      <c r="A211" s="168"/>
      <c r="B211" s="169"/>
      <c r="C211" s="419" t="s">
        <v>342</v>
      </c>
      <c r="D211" s="419"/>
      <c r="E211" s="443"/>
      <c r="F211" s="411">
        <v>300000</v>
      </c>
      <c r="G211" s="403"/>
      <c r="H211" s="380"/>
      <c r="I211" s="381"/>
      <c r="J211" s="380">
        <v>1953257.3</v>
      </c>
      <c r="K211" s="381"/>
      <c r="S211" s="5"/>
    </row>
    <row r="212" spans="1:11" ht="23.25">
      <c r="A212" s="168"/>
      <c r="B212" s="169"/>
      <c r="C212" s="419" t="s">
        <v>356</v>
      </c>
      <c r="D212" s="419"/>
      <c r="E212" s="443"/>
      <c r="F212" s="411">
        <v>320000</v>
      </c>
      <c r="G212" s="403"/>
      <c r="H212" s="380"/>
      <c r="I212" s="381"/>
      <c r="J212" s="380">
        <v>651085.77</v>
      </c>
      <c r="K212" s="381"/>
    </row>
    <row r="213" spans="1:11" ht="23.25">
      <c r="A213" s="168"/>
      <c r="B213" s="169"/>
      <c r="C213" s="419"/>
      <c r="D213" s="419"/>
      <c r="E213" s="443"/>
      <c r="F213" s="411"/>
      <c r="G213" s="403"/>
      <c r="H213" s="431"/>
      <c r="I213" s="432"/>
      <c r="J213" s="431"/>
      <c r="K213" s="432"/>
    </row>
    <row r="214" spans="1:11" ht="23.25">
      <c r="A214" s="168"/>
      <c r="B214" s="169"/>
      <c r="C214" s="419"/>
      <c r="D214" s="419"/>
      <c r="E214" s="443"/>
      <c r="F214" s="411"/>
      <c r="G214" s="403"/>
      <c r="H214" s="431"/>
      <c r="I214" s="432"/>
      <c r="J214" s="431"/>
      <c r="K214" s="432"/>
    </row>
    <row r="215" spans="1:11" ht="23.25">
      <c r="A215" s="168"/>
      <c r="B215" s="169"/>
      <c r="C215" s="419"/>
      <c r="D215" s="419"/>
      <c r="E215" s="443"/>
      <c r="F215" s="411"/>
      <c r="G215" s="403"/>
      <c r="H215" s="431"/>
      <c r="I215" s="432"/>
      <c r="J215" s="431"/>
      <c r="K215" s="432"/>
    </row>
    <row r="216" spans="1:11" ht="23.25">
      <c r="A216" s="168"/>
      <c r="B216" s="169"/>
      <c r="C216" s="419"/>
      <c r="D216" s="419"/>
      <c r="E216" s="443"/>
      <c r="F216" s="411"/>
      <c r="G216" s="403"/>
      <c r="H216" s="380"/>
      <c r="I216" s="381"/>
      <c r="J216" s="380"/>
      <c r="K216" s="381"/>
    </row>
    <row r="217" spans="1:11" ht="23.25">
      <c r="A217" s="168"/>
      <c r="B217" s="169"/>
      <c r="C217" s="419"/>
      <c r="D217" s="419"/>
      <c r="E217" s="443"/>
      <c r="F217" s="411"/>
      <c r="G217" s="403"/>
      <c r="H217" s="380"/>
      <c r="I217" s="381"/>
      <c r="J217" s="380"/>
      <c r="K217" s="381"/>
    </row>
    <row r="218" spans="1:11" ht="23.25">
      <c r="A218" s="168"/>
      <c r="B218" s="169"/>
      <c r="C218" s="169"/>
      <c r="D218" s="169"/>
      <c r="E218" s="170"/>
      <c r="F218" s="411"/>
      <c r="G218" s="403"/>
      <c r="H218" s="431"/>
      <c r="I218" s="432"/>
      <c r="J218" s="431"/>
      <c r="K218" s="432"/>
    </row>
    <row r="219" spans="1:11" ht="23.25">
      <c r="A219" s="412"/>
      <c r="B219" s="413"/>
      <c r="C219" s="413"/>
      <c r="D219" s="413"/>
      <c r="E219" s="399"/>
      <c r="F219" s="411"/>
      <c r="G219" s="403"/>
      <c r="H219" s="431"/>
      <c r="I219" s="432"/>
      <c r="J219" s="431"/>
      <c r="K219" s="432"/>
    </row>
    <row r="220" spans="1:11" ht="23.25">
      <c r="A220" s="16"/>
      <c r="B220" s="17"/>
      <c r="C220" s="17"/>
      <c r="D220" s="17"/>
      <c r="E220" s="145"/>
      <c r="F220" s="157"/>
      <c r="G220" s="158"/>
      <c r="H220" s="213"/>
      <c r="I220" s="214"/>
      <c r="J220" s="213"/>
      <c r="K220" s="214"/>
    </row>
    <row r="221" spans="1:11" ht="23.25">
      <c r="A221" s="412"/>
      <c r="B221" s="413"/>
      <c r="C221" s="413"/>
      <c r="D221" s="413"/>
      <c r="E221" s="399"/>
      <c r="F221" s="411"/>
      <c r="G221" s="403"/>
      <c r="H221" s="431"/>
      <c r="I221" s="432"/>
      <c r="J221" s="431"/>
      <c r="K221" s="432"/>
    </row>
    <row r="222" spans="1:13" ht="23.25">
      <c r="A222" s="412"/>
      <c r="B222" s="413"/>
      <c r="C222" s="413"/>
      <c r="D222" s="413"/>
      <c r="E222" s="399"/>
      <c r="F222" s="411"/>
      <c r="G222" s="403"/>
      <c r="H222" s="431"/>
      <c r="I222" s="432"/>
      <c r="J222" s="431"/>
      <c r="K222" s="432"/>
      <c r="M222" s="215">
        <f>SUM(H224)</f>
        <v>16572300.600000001</v>
      </c>
    </row>
    <row r="223" spans="1:13" ht="23.25">
      <c r="A223" s="412"/>
      <c r="B223" s="413"/>
      <c r="C223" s="413"/>
      <c r="D223" s="413"/>
      <c r="E223" s="399"/>
      <c r="F223" s="411"/>
      <c r="G223" s="403"/>
      <c r="H223" s="444"/>
      <c r="I223" s="445"/>
      <c r="J223" s="444"/>
      <c r="K223" s="445"/>
      <c r="M223" s="215">
        <v>13967957.53</v>
      </c>
    </row>
    <row r="224" spans="1:13" ht="23.25">
      <c r="A224" s="412"/>
      <c r="B224" s="413"/>
      <c r="C224" s="413"/>
      <c r="D224" s="413"/>
      <c r="E224" s="399"/>
      <c r="F224" s="411"/>
      <c r="G224" s="403"/>
      <c r="H224" s="446">
        <f>SUM(H207:I223)</f>
        <v>16572300.600000001</v>
      </c>
      <c r="I224" s="447"/>
      <c r="J224" s="431">
        <f>SUM(J207:K223)</f>
        <v>16572300.600000001</v>
      </c>
      <c r="K224" s="432"/>
      <c r="M224" s="215">
        <f>SUM(M222-M223)</f>
        <v>2604343.070000002</v>
      </c>
    </row>
    <row r="225" spans="1:13" ht="23.25">
      <c r="A225" s="146" t="s">
        <v>230</v>
      </c>
      <c r="B225" s="147" t="s">
        <v>231</v>
      </c>
      <c r="C225" s="147"/>
      <c r="D225" s="143"/>
      <c r="E225" s="143"/>
      <c r="F225" s="143"/>
      <c r="G225" s="143"/>
      <c r="H225" s="143"/>
      <c r="I225" s="143"/>
      <c r="J225" s="143"/>
      <c r="K225" s="144"/>
      <c r="M225" s="215">
        <f>SUM(J212)</f>
        <v>651085.77</v>
      </c>
    </row>
    <row r="226" spans="1:13" ht="23.25">
      <c r="A226" s="418" t="s">
        <v>431</v>
      </c>
      <c r="B226" s="419"/>
      <c r="C226" s="419"/>
      <c r="D226" s="419"/>
      <c r="E226" s="419"/>
      <c r="F226" s="419"/>
      <c r="G226" s="419"/>
      <c r="H226" s="419"/>
      <c r="I226" s="419"/>
      <c r="J226" s="419"/>
      <c r="K226" s="443"/>
      <c r="M226" s="215">
        <f>SUM(M224-M225)</f>
        <v>1953257.3000000021</v>
      </c>
    </row>
    <row r="227" spans="1:11" ht="23.25">
      <c r="A227" s="418">
        <v>2555</v>
      </c>
      <c r="B227" s="419"/>
      <c r="C227" s="419"/>
      <c r="D227" s="419"/>
      <c r="E227" s="419"/>
      <c r="F227" s="419"/>
      <c r="G227" s="419"/>
      <c r="H227" s="419"/>
      <c r="I227" s="419"/>
      <c r="J227" s="419"/>
      <c r="K227" s="443"/>
    </row>
    <row r="228" spans="1:11" ht="23.25">
      <c r="A228" s="16"/>
      <c r="B228" s="17"/>
      <c r="C228" s="17"/>
      <c r="D228" s="17"/>
      <c r="E228" s="17"/>
      <c r="F228" s="17"/>
      <c r="G228" s="17"/>
      <c r="H228" s="17"/>
      <c r="I228" s="17"/>
      <c r="J228" s="17"/>
      <c r="K228" s="145"/>
    </row>
    <row r="229" spans="1:11" ht="23.25">
      <c r="A229" s="148" t="s">
        <v>177</v>
      </c>
      <c r="B229" s="143"/>
      <c r="C229" s="144"/>
      <c r="D229" s="148" t="s">
        <v>232</v>
      </c>
      <c r="E229" s="143"/>
      <c r="F229" s="143"/>
      <c r="G229" s="144"/>
      <c r="H229" s="147" t="s">
        <v>233</v>
      </c>
      <c r="I229" s="147"/>
      <c r="J229" s="143"/>
      <c r="K229" s="144"/>
    </row>
    <row r="230" spans="1:11" ht="23.25">
      <c r="A230" s="16"/>
      <c r="B230" s="17"/>
      <c r="C230" s="145"/>
      <c r="D230" s="16"/>
      <c r="E230" s="17"/>
      <c r="F230" s="17"/>
      <c r="G230" s="145"/>
      <c r="H230" s="17"/>
      <c r="I230" s="17"/>
      <c r="J230" s="17"/>
      <c r="K230" s="145"/>
    </row>
    <row r="231" spans="1:11" ht="23.25">
      <c r="A231" s="149"/>
      <c r="B231" s="150"/>
      <c r="C231" s="151"/>
      <c r="D231" s="149"/>
      <c r="E231" s="150"/>
      <c r="F231" s="150"/>
      <c r="G231" s="151"/>
      <c r="H231" s="150"/>
      <c r="I231" s="150"/>
      <c r="J231" s="150"/>
      <c r="K231" s="151"/>
    </row>
    <row r="232" spans="1:11" ht="23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</row>
    <row r="233" spans="1:11" ht="23.25">
      <c r="A233" s="11" t="s">
        <v>0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11" ht="23.25">
      <c r="A234" s="11"/>
      <c r="B234" s="11"/>
      <c r="C234" s="11"/>
      <c r="D234" s="11"/>
      <c r="E234" s="11"/>
      <c r="F234" s="11"/>
      <c r="G234" s="11"/>
      <c r="H234" s="11"/>
      <c r="I234" s="451" t="s">
        <v>613</v>
      </c>
      <c r="J234" s="451"/>
      <c r="K234" s="451"/>
    </row>
    <row r="235" spans="1:11" ht="23.25">
      <c r="A235" s="11"/>
      <c r="B235" s="11"/>
      <c r="C235" s="11"/>
      <c r="D235" s="11"/>
      <c r="E235" s="11"/>
      <c r="F235" s="11"/>
      <c r="G235" s="11"/>
      <c r="H235" s="11"/>
      <c r="I235" s="451" t="s">
        <v>612</v>
      </c>
      <c r="J235" s="451"/>
      <c r="K235" s="451"/>
    </row>
    <row r="236" spans="1:11" ht="26.25">
      <c r="A236" s="311" t="s">
        <v>227</v>
      </c>
      <c r="B236" s="311"/>
      <c r="C236" s="311"/>
      <c r="D236" s="311"/>
      <c r="E236" s="311"/>
      <c r="F236" s="311"/>
      <c r="G236" s="311"/>
      <c r="H236" s="311"/>
      <c r="I236" s="311"/>
      <c r="J236" s="311"/>
      <c r="K236" s="311"/>
    </row>
    <row r="237" spans="1:11" ht="23.25">
      <c r="A237" s="11" t="s">
        <v>228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 ht="23.25">
      <c r="A238" s="452" t="s">
        <v>2</v>
      </c>
      <c r="B238" s="453"/>
      <c r="C238" s="453"/>
      <c r="D238" s="453"/>
      <c r="E238" s="437"/>
      <c r="F238" s="437" t="s">
        <v>3</v>
      </c>
      <c r="G238" s="436"/>
      <c r="H238" s="436" t="s">
        <v>234</v>
      </c>
      <c r="I238" s="436"/>
      <c r="J238" s="436" t="s">
        <v>235</v>
      </c>
      <c r="K238" s="436"/>
    </row>
    <row r="239" spans="1:11" ht="23.25">
      <c r="A239" s="148" t="s">
        <v>234</v>
      </c>
      <c r="B239" s="17" t="s">
        <v>600</v>
      </c>
      <c r="C239" s="17"/>
      <c r="D239" s="145"/>
      <c r="E239" s="144"/>
      <c r="F239" s="420">
        <v>441000</v>
      </c>
      <c r="G239" s="421"/>
      <c r="H239" s="407">
        <v>45000</v>
      </c>
      <c r="I239" s="408"/>
      <c r="J239" s="407"/>
      <c r="K239" s="408"/>
    </row>
    <row r="240" spans="1:11" ht="23.25">
      <c r="A240" s="16"/>
      <c r="B240" s="419" t="s">
        <v>373</v>
      </c>
      <c r="C240" s="419"/>
      <c r="D240" s="419"/>
      <c r="E240" s="443"/>
      <c r="F240" s="411">
        <v>441000</v>
      </c>
      <c r="G240" s="403"/>
      <c r="H240" s="405">
        <v>1350</v>
      </c>
      <c r="I240" s="406"/>
      <c r="J240" s="405"/>
      <c r="K240" s="406"/>
    </row>
    <row r="241" spans="1:11" ht="23.25">
      <c r="A241" s="16"/>
      <c r="B241" s="425" t="s">
        <v>601</v>
      </c>
      <c r="C241" s="425"/>
      <c r="D241" s="425"/>
      <c r="E241" s="403"/>
      <c r="F241" s="411">
        <v>441000</v>
      </c>
      <c r="G241" s="403"/>
      <c r="H241" s="405">
        <v>27000</v>
      </c>
      <c r="I241" s="406"/>
      <c r="J241" s="405"/>
      <c r="K241" s="406"/>
    </row>
    <row r="242" spans="1:11" ht="23.25">
      <c r="A242" s="16"/>
      <c r="B242" s="12" t="s">
        <v>235</v>
      </c>
      <c r="C242" s="11" t="s">
        <v>323</v>
      </c>
      <c r="D242" s="11"/>
      <c r="E242" s="145"/>
      <c r="F242" s="411">
        <v>110606</v>
      </c>
      <c r="G242" s="403"/>
      <c r="H242" s="405"/>
      <c r="I242" s="406"/>
      <c r="J242" s="405">
        <f>SUM(H258)</f>
        <v>73350</v>
      </c>
      <c r="K242" s="406"/>
    </row>
    <row r="243" spans="1:11" ht="23.25">
      <c r="A243" s="16"/>
      <c r="B243" s="12"/>
      <c r="C243" s="11"/>
      <c r="D243" s="11"/>
      <c r="E243" s="145"/>
      <c r="F243" s="157"/>
      <c r="G243" s="158"/>
      <c r="H243" s="196"/>
      <c r="I243" s="162"/>
      <c r="J243" s="196"/>
      <c r="K243" s="162"/>
    </row>
    <row r="244" spans="1:11" ht="23.25">
      <c r="A244" s="16"/>
      <c r="B244" s="12"/>
      <c r="C244" s="11"/>
      <c r="D244" s="11"/>
      <c r="E244" s="145"/>
      <c r="F244" s="157"/>
      <c r="G244" s="158"/>
      <c r="H244" s="196"/>
      <c r="I244" s="162"/>
      <c r="J244" s="196"/>
      <c r="K244" s="162"/>
    </row>
    <row r="245" spans="1:11" ht="23.25">
      <c r="A245" s="16"/>
      <c r="B245" s="11"/>
      <c r="C245" s="11"/>
      <c r="D245" s="11"/>
      <c r="E245" s="145"/>
      <c r="F245" s="411"/>
      <c r="G245" s="403"/>
      <c r="H245" s="405"/>
      <c r="I245" s="406"/>
      <c r="J245" s="405"/>
      <c r="K245" s="406"/>
    </row>
    <row r="246" spans="1:11" ht="23.25">
      <c r="A246" s="16"/>
      <c r="B246" s="11"/>
      <c r="C246" s="11"/>
      <c r="D246" s="11"/>
      <c r="E246" s="145"/>
      <c r="F246" s="411"/>
      <c r="G246" s="403"/>
      <c r="H246" s="405"/>
      <c r="I246" s="406"/>
      <c r="J246" s="405"/>
      <c r="K246" s="406"/>
    </row>
    <row r="247" spans="1:11" ht="23.25">
      <c r="A247" s="16"/>
      <c r="B247" s="11"/>
      <c r="C247" s="11"/>
      <c r="D247" s="11"/>
      <c r="E247" s="145"/>
      <c r="F247" s="411"/>
      <c r="G247" s="403"/>
      <c r="H247" s="405"/>
      <c r="I247" s="406"/>
      <c r="J247" s="405"/>
      <c r="K247" s="406"/>
    </row>
    <row r="248" spans="1:11" ht="23.25">
      <c r="A248" s="16"/>
      <c r="B248" s="11"/>
      <c r="C248" s="11"/>
      <c r="D248" s="11"/>
      <c r="E248" s="145"/>
      <c r="F248" s="411"/>
      <c r="G248" s="403"/>
      <c r="H248" s="405"/>
      <c r="I248" s="406"/>
      <c r="J248" s="405"/>
      <c r="K248" s="406"/>
    </row>
    <row r="249" spans="1:11" ht="23.25">
      <c r="A249" s="16"/>
      <c r="B249" s="11"/>
      <c r="C249" s="11"/>
      <c r="D249" s="11"/>
      <c r="E249" s="145"/>
      <c r="F249" s="411"/>
      <c r="G249" s="403"/>
      <c r="H249" s="405"/>
      <c r="I249" s="406"/>
      <c r="J249" s="405"/>
      <c r="K249" s="406"/>
    </row>
    <row r="250" spans="1:11" ht="23.25">
      <c r="A250" s="157"/>
      <c r="B250" s="11"/>
      <c r="C250" s="11"/>
      <c r="D250" s="11"/>
      <c r="E250" s="145"/>
      <c r="F250" s="411"/>
      <c r="G250" s="403"/>
      <c r="H250" s="416"/>
      <c r="I250" s="417"/>
      <c r="J250" s="416"/>
      <c r="K250" s="417"/>
    </row>
    <row r="251" spans="1:11" ht="23.25">
      <c r="A251" s="159"/>
      <c r="B251" s="11"/>
      <c r="C251" s="11"/>
      <c r="D251" s="11"/>
      <c r="E251" s="145"/>
      <c r="F251" s="411"/>
      <c r="G251" s="403"/>
      <c r="H251" s="416"/>
      <c r="I251" s="417"/>
      <c r="J251" s="416"/>
      <c r="K251" s="417"/>
    </row>
    <row r="252" spans="1:11" ht="23.25">
      <c r="A252" s="16"/>
      <c r="B252" s="11"/>
      <c r="C252" s="11"/>
      <c r="D252" s="11"/>
      <c r="E252" s="145"/>
      <c r="F252" s="411"/>
      <c r="G252" s="403"/>
      <c r="H252" s="405"/>
      <c r="I252" s="406"/>
      <c r="J252" s="405"/>
      <c r="K252" s="406"/>
    </row>
    <row r="253" spans="1:11" ht="23.25">
      <c r="A253" s="16"/>
      <c r="B253" s="11"/>
      <c r="C253" s="11"/>
      <c r="D253" s="11"/>
      <c r="E253" s="145"/>
      <c r="F253" s="411"/>
      <c r="G253" s="403"/>
      <c r="H253" s="405"/>
      <c r="I253" s="406"/>
      <c r="J253" s="405"/>
      <c r="K253" s="406"/>
    </row>
    <row r="254" spans="1:11" ht="23.25">
      <c r="A254" s="16"/>
      <c r="B254" s="190"/>
      <c r="C254" s="17"/>
      <c r="D254" s="17"/>
      <c r="E254" s="145"/>
      <c r="F254" s="411"/>
      <c r="G254" s="403"/>
      <c r="H254" s="405"/>
      <c r="I254" s="406"/>
      <c r="J254" s="405"/>
      <c r="K254" s="406"/>
    </row>
    <row r="255" spans="1:11" ht="23.25">
      <c r="A255" s="159"/>
      <c r="B255" s="160"/>
      <c r="C255" s="160"/>
      <c r="D255" s="160"/>
      <c r="E255" s="160"/>
      <c r="F255" s="157"/>
      <c r="G255" s="158"/>
      <c r="H255" s="157"/>
      <c r="I255" s="158"/>
      <c r="J255" s="26"/>
      <c r="K255" s="158"/>
    </row>
    <row r="256" spans="1:11" ht="23.25">
      <c r="A256" s="16"/>
      <c r="B256" s="17"/>
      <c r="C256" s="17"/>
      <c r="D256" s="17"/>
      <c r="E256" s="145"/>
      <c r="F256" s="411"/>
      <c r="G256" s="403"/>
      <c r="H256" s="164"/>
      <c r="I256" s="162"/>
      <c r="J256" s="405"/>
      <c r="K256" s="406"/>
    </row>
    <row r="257" spans="1:11" ht="23.25">
      <c r="A257" s="16"/>
      <c r="B257" s="11"/>
      <c r="C257" s="11"/>
      <c r="D257" s="11"/>
      <c r="E257" s="145"/>
      <c r="F257" s="411"/>
      <c r="G257" s="403"/>
      <c r="H257" s="441"/>
      <c r="I257" s="406"/>
      <c r="J257" s="405"/>
      <c r="K257" s="406"/>
    </row>
    <row r="258" spans="1:11" ht="24" thickBot="1">
      <c r="A258" s="149"/>
      <c r="B258" s="150"/>
      <c r="C258" s="150"/>
      <c r="D258" s="150"/>
      <c r="E258" s="151"/>
      <c r="F258" s="411"/>
      <c r="G258" s="403"/>
      <c r="H258" s="438">
        <f>SUM(H239:H257)</f>
        <v>73350</v>
      </c>
      <c r="I258" s="439"/>
      <c r="J258" s="423">
        <f>SUM(J239:J257)</f>
        <v>73350</v>
      </c>
      <c r="K258" s="440"/>
    </row>
    <row r="259" spans="1:11" ht="24" thickTop="1">
      <c r="A259" s="146" t="s">
        <v>230</v>
      </c>
      <c r="B259" s="147" t="s">
        <v>231</v>
      </c>
      <c r="C259" s="147"/>
      <c r="D259" s="143"/>
      <c r="E259" s="143"/>
      <c r="F259" s="143"/>
      <c r="G259" s="143"/>
      <c r="H259" s="17"/>
      <c r="I259" s="17"/>
      <c r="J259" s="17"/>
      <c r="K259" s="145"/>
    </row>
    <row r="260" spans="1:11" ht="23.25">
      <c r="A260" s="418" t="s">
        <v>610</v>
      </c>
      <c r="B260" s="419"/>
      <c r="C260" s="419"/>
      <c r="D260" s="419"/>
      <c r="E260" s="419"/>
      <c r="F260" s="419"/>
      <c r="G260" s="419"/>
      <c r="H260" s="419"/>
      <c r="I260" s="419"/>
      <c r="J260" s="419"/>
      <c r="K260" s="443"/>
    </row>
    <row r="261" spans="1:11" ht="23.25">
      <c r="A261" s="414" t="s">
        <v>611</v>
      </c>
      <c r="B261" s="400"/>
      <c r="C261" s="400"/>
      <c r="D261" s="400"/>
      <c r="E261" s="400"/>
      <c r="F261" s="400"/>
      <c r="G261" s="400"/>
      <c r="H261" s="400"/>
      <c r="I261" s="400"/>
      <c r="J261" s="400"/>
      <c r="K261" s="415"/>
    </row>
    <row r="262" spans="1:11" ht="23.25">
      <c r="A262" s="148" t="s">
        <v>177</v>
      </c>
      <c r="B262" s="143"/>
      <c r="C262" s="144"/>
      <c r="D262" s="148" t="s">
        <v>232</v>
      </c>
      <c r="E262" s="143"/>
      <c r="F262" s="143"/>
      <c r="G262" s="144"/>
      <c r="H262" s="147" t="s">
        <v>233</v>
      </c>
      <c r="I262" s="147"/>
      <c r="J262" s="143"/>
      <c r="K262" s="144"/>
    </row>
    <row r="263" spans="1:11" ht="23.25">
      <c r="A263" s="411"/>
      <c r="B263" s="389"/>
      <c r="C263" s="403"/>
      <c r="D263" s="411"/>
      <c r="E263" s="389"/>
      <c r="F263" s="389"/>
      <c r="G263" s="403"/>
      <c r="H263" s="411"/>
      <c r="I263" s="389"/>
      <c r="J263" s="389"/>
      <c r="K263" s="403"/>
    </row>
    <row r="264" spans="1:11" ht="23.25">
      <c r="A264" s="149"/>
      <c r="B264" s="150"/>
      <c r="C264" s="151"/>
      <c r="D264" s="149"/>
      <c r="E264" s="150"/>
      <c r="F264" s="150"/>
      <c r="G264" s="151"/>
      <c r="H264" s="150"/>
      <c r="I264" s="150"/>
      <c r="J264" s="150"/>
      <c r="K264" s="151"/>
    </row>
    <row r="265" spans="1:11" ht="23.25">
      <c r="A265" s="11" t="s">
        <v>0</v>
      </c>
      <c r="B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1:11" ht="23.25">
      <c r="A266" s="11"/>
      <c r="B266" s="11"/>
      <c r="C266" s="11"/>
      <c r="D266" s="11"/>
      <c r="E266" s="11"/>
      <c r="F266" s="11"/>
      <c r="G266" s="11"/>
      <c r="H266" s="11"/>
      <c r="I266" s="451" t="s">
        <v>620</v>
      </c>
      <c r="J266" s="451"/>
      <c r="K266" s="451"/>
    </row>
    <row r="267" spans="1:11" ht="23.25">
      <c r="A267" s="11"/>
      <c r="B267" s="11"/>
      <c r="C267" s="11"/>
      <c r="D267" s="11"/>
      <c r="E267" s="11"/>
      <c r="F267" s="11"/>
      <c r="G267" s="11"/>
      <c r="H267" s="11"/>
      <c r="I267" s="468" t="s">
        <v>621</v>
      </c>
      <c r="J267" s="451"/>
      <c r="K267" s="451"/>
    </row>
    <row r="268" spans="1:11" ht="26.25">
      <c r="A268" s="311" t="s">
        <v>227</v>
      </c>
      <c r="B268" s="311"/>
      <c r="C268" s="311"/>
      <c r="D268" s="311"/>
      <c r="E268" s="311"/>
      <c r="F268" s="311"/>
      <c r="G268" s="311"/>
      <c r="H268" s="311"/>
      <c r="I268" s="311"/>
      <c r="J268" s="311"/>
      <c r="K268" s="311"/>
    </row>
    <row r="269" spans="1:11" ht="23.25">
      <c r="A269" s="11" t="s">
        <v>228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1:11" ht="23.25">
      <c r="A270" s="452" t="s">
        <v>2</v>
      </c>
      <c r="B270" s="453"/>
      <c r="C270" s="453"/>
      <c r="D270" s="458"/>
      <c r="E270" s="437"/>
      <c r="F270" s="437" t="s">
        <v>3</v>
      </c>
      <c r="G270" s="436"/>
      <c r="H270" s="436" t="s">
        <v>234</v>
      </c>
      <c r="I270" s="436"/>
      <c r="J270" s="436" t="s">
        <v>235</v>
      </c>
      <c r="K270" s="436"/>
    </row>
    <row r="271" spans="1:11" ht="23.25">
      <c r="A271" s="148" t="s">
        <v>234</v>
      </c>
      <c r="B271" s="469" t="s">
        <v>320</v>
      </c>
      <c r="C271" s="469"/>
      <c r="D271" s="469"/>
      <c r="E271" s="470"/>
      <c r="F271" s="420">
        <v>320000</v>
      </c>
      <c r="G271" s="421"/>
      <c r="H271" s="407">
        <v>7600</v>
      </c>
      <c r="I271" s="408"/>
      <c r="J271" s="407"/>
      <c r="K271" s="408"/>
    </row>
    <row r="272" spans="1:11" ht="23.25">
      <c r="A272" s="16"/>
      <c r="B272" s="419" t="s">
        <v>319</v>
      </c>
      <c r="C272" s="419"/>
      <c r="D272" s="419"/>
      <c r="E272" s="443"/>
      <c r="F272" s="411">
        <v>310000</v>
      </c>
      <c r="G272" s="403"/>
      <c r="H272" s="405">
        <v>0</v>
      </c>
      <c r="I272" s="406"/>
      <c r="J272" s="405"/>
      <c r="K272" s="406"/>
    </row>
    <row r="273" spans="1:11" ht="23.25">
      <c r="A273" s="16"/>
      <c r="B273" s="12"/>
      <c r="C273" s="11"/>
      <c r="D273" s="11"/>
      <c r="E273" s="145"/>
      <c r="F273" s="411"/>
      <c r="G273" s="403"/>
      <c r="H273" s="405"/>
      <c r="I273" s="406"/>
      <c r="J273" s="405"/>
      <c r="K273" s="406"/>
    </row>
    <row r="274" spans="1:11" ht="23.25">
      <c r="A274" s="16"/>
      <c r="B274" s="12" t="s">
        <v>397</v>
      </c>
      <c r="C274" s="11" t="s">
        <v>580</v>
      </c>
      <c r="D274" s="11"/>
      <c r="E274" s="145"/>
      <c r="F274" s="411">
        <v>110605</v>
      </c>
      <c r="G274" s="403"/>
      <c r="H274" s="405"/>
      <c r="I274" s="406"/>
      <c r="J274" s="405">
        <v>7600</v>
      </c>
      <c r="K274" s="406"/>
    </row>
    <row r="275" spans="1:11" ht="23.25">
      <c r="A275" s="16"/>
      <c r="B275" s="11"/>
      <c r="C275" s="11"/>
      <c r="D275" s="11"/>
      <c r="E275" s="145"/>
      <c r="F275" s="411"/>
      <c r="G275" s="403"/>
      <c r="H275" s="405"/>
      <c r="I275" s="406"/>
      <c r="J275" s="405"/>
      <c r="K275" s="406"/>
    </row>
    <row r="276" spans="1:11" ht="23.25">
      <c r="A276" s="16"/>
      <c r="B276" s="11"/>
      <c r="C276" s="11"/>
      <c r="D276" s="11"/>
      <c r="E276" s="145"/>
      <c r="F276" s="411"/>
      <c r="G276" s="403"/>
      <c r="H276" s="405"/>
      <c r="I276" s="406"/>
      <c r="J276" s="405"/>
      <c r="K276" s="406"/>
    </row>
    <row r="277" spans="1:11" ht="23.25">
      <c r="A277" s="16"/>
      <c r="B277" s="11"/>
      <c r="C277" s="11"/>
      <c r="D277" s="11"/>
      <c r="E277" s="145"/>
      <c r="F277" s="411"/>
      <c r="G277" s="403"/>
      <c r="H277" s="405"/>
      <c r="I277" s="406"/>
      <c r="J277" s="405"/>
      <c r="K277" s="406"/>
    </row>
    <row r="278" spans="1:11" ht="23.25">
      <c r="A278" s="16"/>
      <c r="B278" s="11"/>
      <c r="C278" s="11"/>
      <c r="D278" s="11"/>
      <c r="E278" s="145"/>
      <c r="F278" s="411"/>
      <c r="G278" s="403"/>
      <c r="H278" s="405"/>
      <c r="I278" s="406"/>
      <c r="J278" s="405"/>
      <c r="K278" s="406"/>
    </row>
    <row r="279" spans="1:11" ht="23.25">
      <c r="A279" s="16"/>
      <c r="B279" s="11"/>
      <c r="C279" s="11"/>
      <c r="D279" s="11"/>
      <c r="E279" s="145"/>
      <c r="F279" s="411"/>
      <c r="G279" s="403"/>
      <c r="H279" s="405"/>
      <c r="I279" s="406"/>
      <c r="J279" s="405"/>
      <c r="K279" s="406"/>
    </row>
    <row r="280" spans="1:11" ht="23.25">
      <c r="A280" s="157"/>
      <c r="B280" s="11"/>
      <c r="C280" s="11"/>
      <c r="D280" s="11"/>
      <c r="E280" s="145"/>
      <c r="F280" s="411"/>
      <c r="G280" s="403"/>
      <c r="H280" s="416"/>
      <c r="I280" s="417"/>
      <c r="J280" s="416"/>
      <c r="K280" s="417"/>
    </row>
    <row r="281" spans="1:11" ht="23.25">
      <c r="A281" s="159"/>
      <c r="B281" s="11"/>
      <c r="C281" s="11"/>
      <c r="D281" s="11"/>
      <c r="E281" s="145"/>
      <c r="F281" s="411"/>
      <c r="G281" s="403"/>
      <c r="H281" s="416"/>
      <c r="I281" s="417"/>
      <c r="J281" s="416"/>
      <c r="K281" s="417"/>
    </row>
    <row r="282" spans="1:11" ht="23.25">
      <c r="A282" s="16"/>
      <c r="B282" s="11"/>
      <c r="C282" s="11"/>
      <c r="D282" s="11"/>
      <c r="E282" s="145"/>
      <c r="F282" s="411"/>
      <c r="G282" s="403"/>
      <c r="H282" s="405"/>
      <c r="I282" s="406"/>
      <c r="J282" s="405"/>
      <c r="K282" s="406"/>
    </row>
    <row r="283" spans="1:11" ht="23.25">
      <c r="A283" s="16"/>
      <c r="B283" s="11"/>
      <c r="C283" s="11"/>
      <c r="D283" s="11"/>
      <c r="E283" s="145"/>
      <c r="F283" s="411"/>
      <c r="G283" s="403"/>
      <c r="H283" s="405"/>
      <c r="I283" s="406"/>
      <c r="J283" s="389"/>
      <c r="K283" s="403"/>
    </row>
    <row r="284" spans="1:11" ht="23.25">
      <c r="A284" s="16"/>
      <c r="B284" s="11"/>
      <c r="C284" s="11"/>
      <c r="D284" s="11"/>
      <c r="E284" s="145"/>
      <c r="F284" s="411"/>
      <c r="G284" s="403"/>
      <c r="H284" s="405"/>
      <c r="I284" s="406"/>
      <c r="J284" s="405"/>
      <c r="K284" s="406"/>
    </row>
    <row r="285" spans="1:11" ht="23.25">
      <c r="A285" s="16"/>
      <c r="B285" s="190"/>
      <c r="C285" s="17"/>
      <c r="D285" s="17"/>
      <c r="E285" s="145"/>
      <c r="F285" s="411"/>
      <c r="G285" s="403"/>
      <c r="H285" s="405"/>
      <c r="I285" s="406"/>
      <c r="J285" s="405"/>
      <c r="K285" s="406"/>
    </row>
    <row r="286" spans="1:11" ht="23.25">
      <c r="A286" s="159"/>
      <c r="B286" s="160"/>
      <c r="C286" s="160"/>
      <c r="D286" s="160"/>
      <c r="E286" s="160"/>
      <c r="F286" s="157"/>
      <c r="G286" s="158"/>
      <c r="H286" s="157"/>
      <c r="I286" s="158"/>
      <c r="J286" s="26"/>
      <c r="K286" s="158"/>
    </row>
    <row r="287" spans="1:11" ht="23.25">
      <c r="A287" s="16"/>
      <c r="B287" s="17"/>
      <c r="C287" s="17"/>
      <c r="D287" s="17"/>
      <c r="E287" s="145"/>
      <c r="F287" s="411"/>
      <c r="G287" s="403"/>
      <c r="H287" s="164"/>
      <c r="I287" s="162"/>
      <c r="J287" s="405"/>
      <c r="K287" s="406"/>
    </row>
    <row r="288" spans="1:11" ht="23.25">
      <c r="A288" s="16"/>
      <c r="B288" s="11"/>
      <c r="C288" s="11"/>
      <c r="D288" s="11"/>
      <c r="E288" s="145"/>
      <c r="F288" s="411"/>
      <c r="G288" s="403"/>
      <c r="H288" s="441"/>
      <c r="I288" s="406"/>
      <c r="J288" s="405"/>
      <c r="K288" s="406"/>
    </row>
    <row r="289" spans="1:11" ht="24" thickBot="1">
      <c r="A289" s="149"/>
      <c r="B289" s="150"/>
      <c r="C289" s="150"/>
      <c r="D289" s="150"/>
      <c r="E289" s="151"/>
      <c r="F289" s="411"/>
      <c r="G289" s="403"/>
      <c r="H289" s="438">
        <f>SUM(H271:H288)</f>
        <v>7600</v>
      </c>
      <c r="I289" s="439"/>
      <c r="J289" s="423">
        <f>SUM(J271:J288)</f>
        <v>7600</v>
      </c>
      <c r="K289" s="440"/>
    </row>
    <row r="290" spans="1:11" ht="24" thickTop="1">
      <c r="A290" s="146" t="s">
        <v>230</v>
      </c>
      <c r="B290" s="147" t="s">
        <v>231</v>
      </c>
      <c r="C290" s="147"/>
      <c r="D290" s="143"/>
      <c r="E290" s="143"/>
      <c r="F290" s="143"/>
      <c r="G290" s="143"/>
      <c r="H290" s="17"/>
      <c r="I290" s="17"/>
      <c r="J290" s="17"/>
      <c r="K290" s="145"/>
    </row>
    <row r="291" spans="1:11" ht="23.25">
      <c r="A291" s="418" t="s">
        <v>622</v>
      </c>
      <c r="B291" s="419"/>
      <c r="C291" s="419"/>
      <c r="D291" s="419"/>
      <c r="E291" s="419"/>
      <c r="F291" s="419"/>
      <c r="G291" s="419"/>
      <c r="H291" s="419"/>
      <c r="I291" s="419"/>
      <c r="J291" s="419"/>
      <c r="K291" s="443"/>
    </row>
    <row r="292" spans="1:11" ht="23.25">
      <c r="A292" s="318"/>
      <c r="B292" s="319"/>
      <c r="C292" s="319"/>
      <c r="D292" s="319"/>
      <c r="E292" s="319"/>
      <c r="F292" s="319"/>
      <c r="G292" s="319"/>
      <c r="H292" s="319"/>
      <c r="I292" s="319"/>
      <c r="J292" s="319"/>
      <c r="K292" s="320"/>
    </row>
    <row r="293" spans="1:11" ht="23.25">
      <c r="A293" s="148" t="s">
        <v>177</v>
      </c>
      <c r="B293" s="143"/>
      <c r="C293" s="144"/>
      <c r="D293" s="148" t="s">
        <v>232</v>
      </c>
      <c r="E293" s="143"/>
      <c r="F293" s="143"/>
      <c r="G293" s="144"/>
      <c r="H293" s="147" t="s">
        <v>233</v>
      </c>
      <c r="I293" s="147"/>
      <c r="J293" s="143"/>
      <c r="K293" s="144"/>
    </row>
    <row r="294" spans="1:11" ht="23.25">
      <c r="A294" s="411"/>
      <c r="B294" s="389"/>
      <c r="C294" s="403"/>
      <c r="D294" s="418"/>
      <c r="E294" s="419"/>
      <c r="F294" s="419"/>
      <c r="G294" s="443"/>
      <c r="H294" s="411"/>
      <c r="I294" s="389"/>
      <c r="J294" s="389"/>
      <c r="K294" s="403"/>
    </row>
    <row r="295" spans="1:11" ht="23.25">
      <c r="A295" s="149"/>
      <c r="B295" s="150"/>
      <c r="C295" s="151"/>
      <c r="D295" s="149"/>
      <c r="E295" s="150"/>
      <c r="F295" s="150"/>
      <c r="G295" s="151"/>
      <c r="H295" s="150"/>
      <c r="I295" s="150"/>
      <c r="J295" s="150"/>
      <c r="K295" s="151"/>
    </row>
    <row r="299" spans="1:11" ht="23.25">
      <c r="A299" s="11" t="s">
        <v>0</v>
      </c>
      <c r="B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1:11" ht="23.25">
      <c r="A300" s="11"/>
      <c r="B300" s="11"/>
      <c r="C300" s="11"/>
      <c r="D300" s="11"/>
      <c r="E300" s="11"/>
      <c r="F300" s="11"/>
      <c r="G300" s="11"/>
      <c r="H300" s="11"/>
      <c r="I300" s="451" t="s">
        <v>577</v>
      </c>
      <c r="J300" s="451"/>
      <c r="K300" s="451"/>
    </row>
    <row r="301" spans="1:11" ht="23.25">
      <c r="A301" s="11"/>
      <c r="B301" s="11"/>
      <c r="C301" s="11"/>
      <c r="D301" s="11"/>
      <c r="E301" s="11"/>
      <c r="F301" s="11"/>
      <c r="G301" s="11"/>
      <c r="H301" s="11"/>
      <c r="I301" s="451" t="s">
        <v>578</v>
      </c>
      <c r="J301" s="451"/>
      <c r="K301" s="451"/>
    </row>
    <row r="302" spans="1:11" ht="26.25">
      <c r="A302" s="311" t="s">
        <v>227</v>
      </c>
      <c r="B302" s="311"/>
      <c r="C302" s="311"/>
      <c r="D302" s="311"/>
      <c r="E302" s="311"/>
      <c r="F302" s="311"/>
      <c r="G302" s="311"/>
      <c r="H302" s="311"/>
      <c r="I302" s="311"/>
      <c r="J302" s="311"/>
      <c r="K302" s="311"/>
    </row>
    <row r="303" spans="1:11" ht="23.25">
      <c r="A303" s="11" t="s">
        <v>228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23.25">
      <c r="A304" s="452" t="s">
        <v>2</v>
      </c>
      <c r="B304" s="453"/>
      <c r="C304" s="453"/>
      <c r="D304" s="453"/>
      <c r="E304" s="437"/>
      <c r="F304" s="452" t="s">
        <v>3</v>
      </c>
      <c r="G304" s="437"/>
      <c r="H304" s="452" t="s">
        <v>234</v>
      </c>
      <c r="I304" s="437"/>
      <c r="J304" s="452" t="s">
        <v>235</v>
      </c>
      <c r="K304" s="437"/>
    </row>
    <row r="305" spans="1:11" ht="23.25">
      <c r="A305" s="148" t="s">
        <v>234</v>
      </c>
      <c r="B305" s="17" t="s">
        <v>376</v>
      </c>
      <c r="C305" s="17"/>
      <c r="D305" s="145"/>
      <c r="E305" s="144"/>
      <c r="F305" s="420">
        <v>441000</v>
      </c>
      <c r="G305" s="421"/>
      <c r="H305" s="407">
        <v>639200</v>
      </c>
      <c r="I305" s="408"/>
      <c r="J305" s="407"/>
      <c r="K305" s="408"/>
    </row>
    <row r="306" spans="1:11" ht="23.25">
      <c r="A306" s="16"/>
      <c r="B306" s="419" t="s">
        <v>375</v>
      </c>
      <c r="C306" s="419"/>
      <c r="D306" s="419"/>
      <c r="E306" s="443"/>
      <c r="F306" s="411">
        <v>441000</v>
      </c>
      <c r="G306" s="403"/>
      <c r="H306" s="405">
        <v>48000</v>
      </c>
      <c r="I306" s="406"/>
      <c r="J306" s="405"/>
      <c r="K306" s="406"/>
    </row>
    <row r="307" spans="1:11" ht="23.25">
      <c r="A307" s="16"/>
      <c r="B307" s="12"/>
      <c r="C307" s="11"/>
      <c r="D307" s="11"/>
      <c r="E307" s="145"/>
      <c r="F307" s="411"/>
      <c r="G307" s="403"/>
      <c r="H307" s="405"/>
      <c r="I307" s="406"/>
      <c r="J307" s="405"/>
      <c r="K307" s="406"/>
    </row>
    <row r="308" spans="1:11" ht="23.25">
      <c r="A308" s="16"/>
      <c r="B308" s="12" t="s">
        <v>235</v>
      </c>
      <c r="C308" s="11" t="s">
        <v>323</v>
      </c>
      <c r="D308" s="11"/>
      <c r="E308" s="145"/>
      <c r="F308" s="411">
        <v>110606</v>
      </c>
      <c r="G308" s="403"/>
      <c r="H308" s="405"/>
      <c r="I308" s="406"/>
      <c r="J308" s="405">
        <v>687200</v>
      </c>
      <c r="K308" s="406"/>
    </row>
    <row r="309" spans="1:11" ht="23.25">
      <c r="A309" s="16"/>
      <c r="B309" s="11"/>
      <c r="C309" s="11"/>
      <c r="D309" s="11"/>
      <c r="E309" s="145"/>
      <c r="F309" s="411"/>
      <c r="G309" s="403"/>
      <c r="H309" s="405"/>
      <c r="I309" s="406"/>
      <c r="J309" s="405"/>
      <c r="K309" s="406"/>
    </row>
    <row r="310" spans="1:11" ht="23.25">
      <c r="A310" s="16"/>
      <c r="B310" s="11"/>
      <c r="C310" s="11"/>
      <c r="D310" s="11"/>
      <c r="E310" s="145"/>
      <c r="F310" s="411"/>
      <c r="G310" s="403"/>
      <c r="H310" s="405"/>
      <c r="I310" s="406"/>
      <c r="J310" s="405"/>
      <c r="K310" s="406"/>
    </row>
    <row r="311" spans="1:11" ht="23.25">
      <c r="A311" s="16"/>
      <c r="B311" s="11"/>
      <c r="C311" s="11"/>
      <c r="D311" s="11"/>
      <c r="E311" s="145"/>
      <c r="F311" s="411"/>
      <c r="G311" s="403"/>
      <c r="H311" s="405"/>
      <c r="I311" s="406"/>
      <c r="J311" s="405"/>
      <c r="K311" s="406"/>
    </row>
    <row r="312" spans="1:11" ht="23.25">
      <c r="A312" s="16"/>
      <c r="B312" s="11"/>
      <c r="C312" s="11"/>
      <c r="D312" s="11"/>
      <c r="E312" s="145"/>
      <c r="F312" s="411"/>
      <c r="G312" s="403"/>
      <c r="H312" s="405"/>
      <c r="I312" s="406"/>
      <c r="J312" s="405"/>
      <c r="K312" s="406"/>
    </row>
    <row r="313" spans="1:11" ht="23.25">
      <c r="A313" s="16"/>
      <c r="B313" s="11"/>
      <c r="C313" s="11"/>
      <c r="D313" s="11"/>
      <c r="E313" s="145"/>
      <c r="F313" s="411"/>
      <c r="G313" s="403"/>
      <c r="H313" s="405"/>
      <c r="I313" s="406"/>
      <c r="J313" s="405"/>
      <c r="K313" s="406"/>
    </row>
    <row r="314" spans="1:11" ht="23.25">
      <c r="A314" s="157"/>
      <c r="B314" s="11"/>
      <c r="C314" s="11"/>
      <c r="D314" s="11"/>
      <c r="E314" s="145"/>
      <c r="F314" s="411"/>
      <c r="G314" s="403"/>
      <c r="H314" s="416"/>
      <c r="I314" s="417"/>
      <c r="J314" s="416"/>
      <c r="K314" s="417"/>
    </row>
    <row r="315" spans="1:11" ht="23.25">
      <c r="A315" s="159"/>
      <c r="B315" s="11"/>
      <c r="C315" s="11"/>
      <c r="D315" s="11"/>
      <c r="E315" s="145"/>
      <c r="F315" s="411"/>
      <c r="G315" s="403"/>
      <c r="H315" s="416"/>
      <c r="I315" s="417"/>
      <c r="J315" s="416"/>
      <c r="K315" s="417"/>
    </row>
    <row r="316" spans="1:11" ht="23.25">
      <c r="A316" s="16"/>
      <c r="B316" s="11"/>
      <c r="C316" s="11"/>
      <c r="D316" s="11"/>
      <c r="E316" s="145"/>
      <c r="F316" s="411"/>
      <c r="G316" s="403"/>
      <c r="H316" s="405"/>
      <c r="I316" s="406"/>
      <c r="J316" s="405"/>
      <c r="K316" s="406"/>
    </row>
    <row r="317" spans="1:11" ht="23.25">
      <c r="A317" s="16"/>
      <c r="B317" s="11"/>
      <c r="C317" s="11"/>
      <c r="D317" s="11"/>
      <c r="E317" s="145"/>
      <c r="F317" s="157"/>
      <c r="G317" s="158"/>
      <c r="H317" s="196"/>
      <c r="I317" s="162"/>
      <c r="J317" s="164"/>
      <c r="K317" s="162"/>
    </row>
    <row r="318" spans="1:11" ht="23.25">
      <c r="A318" s="16"/>
      <c r="B318" s="11"/>
      <c r="C318" s="11"/>
      <c r="D318" s="11"/>
      <c r="E318" s="145"/>
      <c r="F318" s="411"/>
      <c r="G318" s="403"/>
      <c r="H318" s="405"/>
      <c r="I318" s="406"/>
      <c r="J318" s="411"/>
      <c r="K318" s="403"/>
    </row>
    <row r="319" spans="1:11" ht="23.25">
      <c r="A319" s="16"/>
      <c r="B319" s="11"/>
      <c r="C319" s="11"/>
      <c r="D319" s="11"/>
      <c r="E319" s="145"/>
      <c r="F319" s="411"/>
      <c r="G319" s="403"/>
      <c r="H319" s="405"/>
      <c r="I319" s="406"/>
      <c r="J319" s="405"/>
      <c r="K319" s="406"/>
    </row>
    <row r="320" spans="1:11" ht="23.25">
      <c r="A320" s="16"/>
      <c r="B320" s="190"/>
      <c r="C320" s="17"/>
      <c r="D320" s="17"/>
      <c r="E320" s="145"/>
      <c r="F320" s="411"/>
      <c r="G320" s="403"/>
      <c r="H320" s="405"/>
      <c r="I320" s="406"/>
      <c r="J320" s="405"/>
      <c r="K320" s="406"/>
    </row>
    <row r="321" spans="1:11" ht="23.25">
      <c r="A321" s="159"/>
      <c r="B321" s="160"/>
      <c r="C321" s="160"/>
      <c r="D321" s="160"/>
      <c r="E321" s="160"/>
      <c r="F321" s="157"/>
      <c r="G321" s="158"/>
      <c r="H321" s="157"/>
      <c r="I321" s="158"/>
      <c r="J321" s="26"/>
      <c r="K321" s="158"/>
    </row>
    <row r="322" spans="1:11" ht="23.25">
      <c r="A322" s="16"/>
      <c r="B322" s="17"/>
      <c r="C322" s="17"/>
      <c r="D322" s="17"/>
      <c r="E322" s="145"/>
      <c r="F322" s="411"/>
      <c r="G322" s="403"/>
      <c r="H322" s="164"/>
      <c r="I322" s="162"/>
      <c r="J322" s="405"/>
      <c r="K322" s="406"/>
    </row>
    <row r="323" spans="1:11" ht="23.25">
      <c r="A323" s="16"/>
      <c r="B323" s="11"/>
      <c r="C323" s="11"/>
      <c r="D323" s="11"/>
      <c r="E323" s="145"/>
      <c r="F323" s="411"/>
      <c r="G323" s="403"/>
      <c r="H323" s="454"/>
      <c r="I323" s="455"/>
      <c r="J323" s="454"/>
      <c r="K323" s="455"/>
    </row>
    <row r="324" spans="1:11" ht="24" thickBot="1">
      <c r="A324" s="149"/>
      <c r="B324" s="150"/>
      <c r="C324" s="150"/>
      <c r="D324" s="150"/>
      <c r="E324" s="151"/>
      <c r="F324" s="456"/>
      <c r="G324" s="457"/>
      <c r="H324" s="438">
        <f>SUM(H305:H323)</f>
        <v>687200</v>
      </c>
      <c r="I324" s="439"/>
      <c r="J324" s="423">
        <f>SUM(J305:J323)</f>
        <v>687200</v>
      </c>
      <c r="K324" s="440"/>
    </row>
    <row r="325" spans="1:11" ht="24" thickTop="1">
      <c r="A325" s="146" t="s">
        <v>230</v>
      </c>
      <c r="B325" s="147" t="s">
        <v>231</v>
      </c>
      <c r="C325" s="147"/>
      <c r="D325" s="143"/>
      <c r="E325" s="143"/>
      <c r="F325" s="143"/>
      <c r="G325" s="143"/>
      <c r="H325" s="17"/>
      <c r="I325" s="17"/>
      <c r="J325" s="17"/>
      <c r="K325" s="145"/>
    </row>
    <row r="326" spans="1:11" ht="23.25">
      <c r="A326" s="418" t="s">
        <v>579</v>
      </c>
      <c r="B326" s="419"/>
      <c r="C326" s="419"/>
      <c r="D326" s="419"/>
      <c r="E326" s="419"/>
      <c r="F326" s="419"/>
      <c r="G326" s="419"/>
      <c r="H326" s="419"/>
      <c r="I326" s="419"/>
      <c r="J326" s="419"/>
      <c r="K326" s="443"/>
    </row>
    <row r="327" spans="1:11" ht="23.25">
      <c r="A327" s="414"/>
      <c r="B327" s="400"/>
      <c r="C327" s="400"/>
      <c r="D327" s="400"/>
      <c r="E327" s="400"/>
      <c r="F327" s="400"/>
      <c r="G327" s="400"/>
      <c r="H327" s="400"/>
      <c r="I327" s="400"/>
      <c r="J327" s="400"/>
      <c r="K327" s="415"/>
    </row>
    <row r="328" spans="1:11" ht="23.25">
      <c r="A328" s="148" t="s">
        <v>177</v>
      </c>
      <c r="B328" s="143"/>
      <c r="C328" s="144"/>
      <c r="D328" s="148" t="s">
        <v>232</v>
      </c>
      <c r="E328" s="143"/>
      <c r="F328" s="143"/>
      <c r="G328" s="144"/>
      <c r="H328" s="147" t="s">
        <v>233</v>
      </c>
      <c r="I328" s="147"/>
      <c r="J328" s="143"/>
      <c r="K328" s="144"/>
    </row>
    <row r="329" spans="1:11" ht="23.25">
      <c r="A329" s="411"/>
      <c r="B329" s="389"/>
      <c r="C329" s="403"/>
      <c r="D329" s="411"/>
      <c r="E329" s="389"/>
      <c r="F329" s="389"/>
      <c r="G329" s="403"/>
      <c r="H329" s="411"/>
      <c r="I329" s="389"/>
      <c r="J329" s="389"/>
      <c r="K329" s="403"/>
    </row>
    <row r="330" spans="1:11" ht="23.25">
      <c r="A330" s="149"/>
      <c r="B330" s="150"/>
      <c r="C330" s="151"/>
      <c r="D330" s="149"/>
      <c r="E330" s="150"/>
      <c r="F330" s="150"/>
      <c r="G330" s="151"/>
      <c r="H330" s="150"/>
      <c r="I330" s="150"/>
      <c r="J330" s="150"/>
      <c r="K330" s="151"/>
    </row>
    <row r="332" spans="1:11" ht="23.25">
      <c r="A332" s="11" t="s">
        <v>0</v>
      </c>
      <c r="B332" s="11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23.25">
      <c r="A333" s="11"/>
      <c r="B333" s="11"/>
      <c r="C333" s="11"/>
      <c r="D333" s="11"/>
      <c r="E333" s="11"/>
      <c r="F333" s="11"/>
      <c r="G333" s="11"/>
      <c r="H333" s="11"/>
      <c r="I333" s="451" t="s">
        <v>392</v>
      </c>
      <c r="J333" s="451"/>
      <c r="K333" s="451"/>
    </row>
    <row r="334" spans="1:11" ht="23.25">
      <c r="A334" s="11"/>
      <c r="B334" s="11"/>
      <c r="C334" s="11"/>
      <c r="D334" s="11"/>
      <c r="E334" s="11"/>
      <c r="F334" s="11"/>
      <c r="G334" s="11"/>
      <c r="H334" s="11"/>
      <c r="I334" s="451" t="s">
        <v>391</v>
      </c>
      <c r="J334" s="451"/>
      <c r="K334" s="451"/>
    </row>
    <row r="335" spans="1:11" ht="26.25">
      <c r="A335" s="311" t="s">
        <v>227</v>
      </c>
      <c r="B335" s="311"/>
      <c r="C335" s="311"/>
      <c r="D335" s="311"/>
      <c r="E335" s="311"/>
      <c r="F335" s="311"/>
      <c r="G335" s="311"/>
      <c r="H335" s="311"/>
      <c r="I335" s="311"/>
      <c r="J335" s="311"/>
      <c r="K335" s="311"/>
    </row>
    <row r="336" spans="1:11" ht="23.25">
      <c r="A336" s="11" t="s">
        <v>591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1:11" ht="23.25">
      <c r="A337" s="452" t="s">
        <v>2</v>
      </c>
      <c r="B337" s="453"/>
      <c r="C337" s="453"/>
      <c r="D337" s="453"/>
      <c r="E337" s="437"/>
      <c r="F337" s="437" t="s">
        <v>3</v>
      </c>
      <c r="G337" s="436"/>
      <c r="H337" s="436" t="s">
        <v>234</v>
      </c>
      <c r="I337" s="436"/>
      <c r="J337" s="436" t="s">
        <v>235</v>
      </c>
      <c r="K337" s="436"/>
    </row>
    <row r="338" spans="1:11" ht="23.25">
      <c r="A338" s="148" t="s">
        <v>234</v>
      </c>
      <c r="B338" s="11" t="s">
        <v>393</v>
      </c>
      <c r="C338" s="11"/>
      <c r="D338" s="145"/>
      <c r="E338" s="145"/>
      <c r="F338" s="420">
        <v>330400</v>
      </c>
      <c r="G338" s="421"/>
      <c r="H338" s="407">
        <v>6038.76</v>
      </c>
      <c r="I338" s="408"/>
      <c r="J338" s="407"/>
      <c r="K338" s="408"/>
    </row>
    <row r="339" spans="1:11" ht="23.25">
      <c r="A339" s="16"/>
      <c r="B339" s="160" t="s">
        <v>354</v>
      </c>
      <c r="C339" s="160"/>
      <c r="D339" s="160"/>
      <c r="E339" s="145"/>
      <c r="F339" s="411">
        <v>542000</v>
      </c>
      <c r="G339" s="403"/>
      <c r="H339" s="405">
        <v>526600</v>
      </c>
      <c r="I339" s="406"/>
      <c r="J339" s="405"/>
      <c r="K339" s="406"/>
    </row>
    <row r="340" spans="1:11" ht="23.25">
      <c r="A340" s="16"/>
      <c r="B340" s="12" t="s">
        <v>319</v>
      </c>
      <c r="C340" s="11"/>
      <c r="D340" s="11"/>
      <c r="E340" s="145"/>
      <c r="F340" s="411">
        <v>310000</v>
      </c>
      <c r="G340" s="403"/>
      <c r="H340" s="405">
        <v>498870</v>
      </c>
      <c r="I340" s="406"/>
      <c r="J340" s="405"/>
      <c r="K340" s="406"/>
    </row>
    <row r="341" spans="1:11" ht="23.25">
      <c r="A341" s="16"/>
      <c r="B341" s="12"/>
      <c r="C341" s="11"/>
      <c r="D341" s="11"/>
      <c r="E341" s="145"/>
      <c r="F341" s="411"/>
      <c r="G341" s="403"/>
      <c r="H341" s="405"/>
      <c r="I341" s="406"/>
      <c r="J341" s="405"/>
      <c r="K341" s="406"/>
    </row>
    <row r="342" spans="1:11" ht="23.25">
      <c r="A342" s="16"/>
      <c r="B342" s="12" t="s">
        <v>235</v>
      </c>
      <c r="C342" s="11" t="s">
        <v>394</v>
      </c>
      <c r="D342" s="11"/>
      <c r="E342" s="145"/>
      <c r="F342" s="411">
        <v>210402</v>
      </c>
      <c r="G342" s="403"/>
      <c r="H342" s="405"/>
      <c r="I342" s="406"/>
      <c r="J342" s="405">
        <v>532638.76</v>
      </c>
      <c r="K342" s="406"/>
    </row>
    <row r="343" spans="1:11" ht="23.25">
      <c r="A343" s="16"/>
      <c r="B343" s="11"/>
      <c r="C343" s="11" t="s">
        <v>395</v>
      </c>
      <c r="D343" s="11"/>
      <c r="E343" s="145"/>
      <c r="F343" s="411">
        <v>210500</v>
      </c>
      <c r="G343" s="403"/>
      <c r="H343" s="405"/>
      <c r="I343" s="406"/>
      <c r="J343" s="405">
        <v>498870</v>
      </c>
      <c r="K343" s="406"/>
    </row>
    <row r="344" spans="1:11" ht="23.25">
      <c r="A344" s="16"/>
      <c r="B344" s="11"/>
      <c r="C344" s="11"/>
      <c r="D344" s="11"/>
      <c r="E344" s="145"/>
      <c r="F344" s="411"/>
      <c r="G344" s="403"/>
      <c r="H344" s="405"/>
      <c r="I344" s="406"/>
      <c r="J344" s="405"/>
      <c r="K344" s="406"/>
    </row>
    <row r="345" spans="1:11" ht="23.25">
      <c r="A345" s="16"/>
      <c r="B345" s="11"/>
      <c r="C345" s="11"/>
      <c r="D345" s="11"/>
      <c r="E345" s="145"/>
      <c r="F345" s="411"/>
      <c r="G345" s="403"/>
      <c r="H345" s="405"/>
      <c r="I345" s="406"/>
      <c r="J345" s="405"/>
      <c r="K345" s="406"/>
    </row>
    <row r="346" spans="1:11" ht="23.25">
      <c r="A346" s="16"/>
      <c r="B346" s="11"/>
      <c r="C346" s="11"/>
      <c r="D346" s="11"/>
      <c r="E346" s="145"/>
      <c r="F346" s="411"/>
      <c r="G346" s="403"/>
      <c r="H346" s="405"/>
      <c r="I346" s="406"/>
      <c r="J346" s="405"/>
      <c r="K346" s="406"/>
    </row>
    <row r="347" spans="1:11" ht="23.25">
      <c r="A347" s="157"/>
      <c r="B347" s="11"/>
      <c r="C347" s="11"/>
      <c r="D347" s="11"/>
      <c r="E347" s="145"/>
      <c r="F347" s="411"/>
      <c r="G347" s="403"/>
      <c r="H347" s="416"/>
      <c r="I347" s="417"/>
      <c r="J347" s="416"/>
      <c r="K347" s="417"/>
    </row>
    <row r="348" spans="1:11" ht="23.25">
      <c r="A348" s="159"/>
      <c r="B348" s="11"/>
      <c r="C348" s="11"/>
      <c r="D348" s="11"/>
      <c r="E348" s="145"/>
      <c r="F348" s="411"/>
      <c r="G348" s="403"/>
      <c r="H348" s="416"/>
      <c r="I348" s="417"/>
      <c r="J348" s="416"/>
      <c r="K348" s="417"/>
    </row>
    <row r="349" spans="1:11" ht="23.25">
      <c r="A349" s="16"/>
      <c r="B349" s="11"/>
      <c r="C349" s="11"/>
      <c r="D349" s="11"/>
      <c r="E349" s="145"/>
      <c r="F349" s="411"/>
      <c r="G349" s="403"/>
      <c r="H349" s="405"/>
      <c r="I349" s="406"/>
      <c r="J349" s="405"/>
      <c r="K349" s="406"/>
    </row>
    <row r="350" spans="1:11" ht="23.25">
      <c r="A350" s="16"/>
      <c r="B350" s="11"/>
      <c r="C350" s="11"/>
      <c r="D350" s="11"/>
      <c r="E350" s="145"/>
      <c r="F350" s="157"/>
      <c r="G350" s="158"/>
      <c r="H350" s="196"/>
      <c r="I350" s="162"/>
      <c r="J350" s="164"/>
      <c r="K350" s="162"/>
    </row>
    <row r="351" spans="1:11" ht="23.25">
      <c r="A351" s="16"/>
      <c r="B351" s="11"/>
      <c r="C351" s="11"/>
      <c r="D351" s="11"/>
      <c r="E351" s="145"/>
      <c r="F351" s="411"/>
      <c r="G351" s="403"/>
      <c r="H351" s="405"/>
      <c r="I351" s="406"/>
      <c r="J351" s="389"/>
      <c r="K351" s="403"/>
    </row>
    <row r="352" spans="1:11" ht="23.25">
      <c r="A352" s="16"/>
      <c r="B352" s="11"/>
      <c r="C352" s="11"/>
      <c r="D352" s="11"/>
      <c r="E352" s="145"/>
      <c r="F352" s="411"/>
      <c r="G352" s="403"/>
      <c r="H352" s="405"/>
      <c r="I352" s="406"/>
      <c r="J352" s="405"/>
      <c r="K352" s="406"/>
    </row>
    <row r="353" spans="1:11" ht="23.25">
      <c r="A353" s="16"/>
      <c r="B353" s="190"/>
      <c r="C353" s="17"/>
      <c r="D353" s="17"/>
      <c r="E353" s="145"/>
      <c r="F353" s="411"/>
      <c r="G353" s="403"/>
      <c r="H353" s="405"/>
      <c r="I353" s="406"/>
      <c r="J353" s="405"/>
      <c r="K353" s="406"/>
    </row>
    <row r="354" spans="1:11" ht="23.25">
      <c r="A354" s="159"/>
      <c r="B354" s="160"/>
      <c r="C354" s="160"/>
      <c r="D354" s="160"/>
      <c r="E354" s="160"/>
      <c r="F354" s="157"/>
      <c r="G354" s="158"/>
      <c r="H354" s="157"/>
      <c r="I354" s="158"/>
      <c r="J354" s="26"/>
      <c r="K354" s="158"/>
    </row>
    <row r="355" spans="1:11" ht="23.25">
      <c r="A355" s="16"/>
      <c r="B355" s="17"/>
      <c r="C355" s="17"/>
      <c r="D355" s="17"/>
      <c r="E355" s="145"/>
      <c r="F355" s="411"/>
      <c r="G355" s="403"/>
      <c r="H355" s="164"/>
      <c r="I355" s="162"/>
      <c r="J355" s="405"/>
      <c r="K355" s="406"/>
    </row>
    <row r="356" spans="1:11" ht="23.25">
      <c r="A356" s="16"/>
      <c r="B356" s="11"/>
      <c r="C356" s="11"/>
      <c r="D356" s="11"/>
      <c r="E356" s="145"/>
      <c r="F356" s="411"/>
      <c r="G356" s="403"/>
      <c r="H356" s="441"/>
      <c r="I356" s="406"/>
      <c r="J356" s="405"/>
      <c r="K356" s="406"/>
    </row>
    <row r="357" spans="1:11" ht="24" thickBot="1">
      <c r="A357" s="149"/>
      <c r="B357" s="150"/>
      <c r="C357" s="150"/>
      <c r="D357" s="150"/>
      <c r="E357" s="151"/>
      <c r="F357" s="411"/>
      <c r="G357" s="403"/>
      <c r="H357" s="438">
        <f>SUM(H338:H356)</f>
        <v>1031508.76</v>
      </c>
      <c r="I357" s="439"/>
      <c r="J357" s="423">
        <f>SUM(J338:J356)</f>
        <v>1031508.76</v>
      </c>
      <c r="K357" s="440"/>
    </row>
    <row r="358" spans="1:11" ht="24" thickTop="1">
      <c r="A358" s="146" t="s">
        <v>230</v>
      </c>
      <c r="B358" s="147" t="s">
        <v>231</v>
      </c>
      <c r="C358" s="147"/>
      <c r="D358" s="143"/>
      <c r="E358" s="143"/>
      <c r="F358" s="143"/>
      <c r="G358" s="143"/>
      <c r="H358" s="17"/>
      <c r="I358" s="17"/>
      <c r="J358" s="17"/>
      <c r="K358" s="145"/>
    </row>
    <row r="359" spans="1:11" ht="23.25">
      <c r="A359" s="418" t="s">
        <v>396</v>
      </c>
      <c r="B359" s="419"/>
      <c r="C359" s="419"/>
      <c r="D359" s="419"/>
      <c r="E359" s="419"/>
      <c r="F359" s="419"/>
      <c r="G359" s="419"/>
      <c r="H359" s="419"/>
      <c r="I359" s="419"/>
      <c r="J359" s="419"/>
      <c r="K359" s="443"/>
    </row>
    <row r="360" spans="1:11" ht="23.25">
      <c r="A360" s="414"/>
      <c r="B360" s="400"/>
      <c r="C360" s="400"/>
      <c r="D360" s="400"/>
      <c r="E360" s="400"/>
      <c r="F360" s="400"/>
      <c r="G360" s="400"/>
      <c r="H360" s="400"/>
      <c r="I360" s="400"/>
      <c r="J360" s="400"/>
      <c r="K360" s="415"/>
    </row>
    <row r="361" spans="1:11" ht="23.25">
      <c r="A361" s="148" t="s">
        <v>177</v>
      </c>
      <c r="B361" s="143"/>
      <c r="C361" s="144"/>
      <c r="D361" s="148" t="s">
        <v>232</v>
      </c>
      <c r="E361" s="143"/>
      <c r="F361" s="143"/>
      <c r="G361" s="144"/>
      <c r="H361" s="147" t="s">
        <v>233</v>
      </c>
      <c r="I361" s="147"/>
      <c r="J361" s="143"/>
      <c r="K361" s="144"/>
    </row>
    <row r="362" spans="1:11" ht="23.25">
      <c r="A362" s="411"/>
      <c r="B362" s="389"/>
      <c r="C362" s="403"/>
      <c r="D362" s="411"/>
      <c r="E362" s="389"/>
      <c r="F362" s="389"/>
      <c r="G362" s="403"/>
      <c r="H362" s="411"/>
      <c r="I362" s="389"/>
      <c r="J362" s="389"/>
      <c r="K362" s="403"/>
    </row>
    <row r="363" spans="1:11" ht="23.25">
      <c r="A363" s="149"/>
      <c r="B363" s="150"/>
      <c r="C363" s="151"/>
      <c r="D363" s="149"/>
      <c r="E363" s="150"/>
      <c r="F363" s="150"/>
      <c r="G363" s="151"/>
      <c r="H363" s="150"/>
      <c r="I363" s="150"/>
      <c r="J363" s="150"/>
      <c r="K363" s="151"/>
    </row>
    <row r="364" spans="1:11" ht="23.25">
      <c r="A364" s="11" t="s">
        <v>0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1:11" ht="23.25">
      <c r="A365" s="11"/>
      <c r="B365" s="11"/>
      <c r="C365" s="11"/>
      <c r="D365" s="11"/>
      <c r="E365" s="11"/>
      <c r="F365" s="11"/>
      <c r="G365" s="11"/>
      <c r="H365" s="11"/>
      <c r="I365" s="451" t="s">
        <v>403</v>
      </c>
      <c r="J365" s="451"/>
      <c r="K365" s="451"/>
    </row>
    <row r="366" spans="1:11" ht="23.25">
      <c r="A366" s="11"/>
      <c r="B366" s="11"/>
      <c r="C366" s="11"/>
      <c r="D366" s="11"/>
      <c r="E366" s="11"/>
      <c r="F366" s="11"/>
      <c r="G366" s="11"/>
      <c r="H366" s="11"/>
      <c r="I366" s="451" t="s">
        <v>410</v>
      </c>
      <c r="J366" s="451"/>
      <c r="K366" s="451"/>
    </row>
    <row r="367" spans="1:11" ht="26.25">
      <c r="A367" s="311" t="s">
        <v>227</v>
      </c>
      <c r="B367" s="311"/>
      <c r="C367" s="311"/>
      <c r="D367" s="311"/>
      <c r="E367" s="311"/>
      <c r="F367" s="311"/>
      <c r="G367" s="311"/>
      <c r="H367" s="311"/>
      <c r="I367" s="311"/>
      <c r="J367" s="311"/>
      <c r="K367" s="311"/>
    </row>
    <row r="368" spans="1:11" ht="23.25">
      <c r="A368" s="11" t="s">
        <v>228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1:11" ht="23.25">
      <c r="A369" s="452" t="s">
        <v>2</v>
      </c>
      <c r="B369" s="453"/>
      <c r="C369" s="453"/>
      <c r="D369" s="453"/>
      <c r="E369" s="437"/>
      <c r="F369" s="437" t="s">
        <v>3</v>
      </c>
      <c r="G369" s="436"/>
      <c r="H369" s="436" t="s">
        <v>234</v>
      </c>
      <c r="I369" s="436"/>
      <c r="J369" s="436" t="s">
        <v>235</v>
      </c>
      <c r="K369" s="436"/>
    </row>
    <row r="370" spans="1:11" ht="23.25">
      <c r="A370" s="148" t="s">
        <v>234</v>
      </c>
      <c r="B370" s="11" t="s">
        <v>287</v>
      </c>
      <c r="C370" s="11"/>
      <c r="D370" s="145"/>
      <c r="E370" s="145"/>
      <c r="F370" s="420">
        <v>411001</v>
      </c>
      <c r="G370" s="421"/>
      <c r="H370" s="407">
        <v>32679</v>
      </c>
      <c r="I370" s="408"/>
      <c r="J370" s="407"/>
      <c r="K370" s="408"/>
    </row>
    <row r="371" spans="1:11" ht="23.25">
      <c r="A371" s="16"/>
      <c r="B371" s="160" t="s">
        <v>260</v>
      </c>
      <c r="C371" s="160"/>
      <c r="D371" s="160"/>
      <c r="E371" s="145"/>
      <c r="F371" s="411">
        <v>411002</v>
      </c>
      <c r="G371" s="403"/>
      <c r="H371" s="405">
        <v>26639.48</v>
      </c>
      <c r="I371" s="406"/>
      <c r="J371" s="405"/>
      <c r="K371" s="406"/>
    </row>
    <row r="372" spans="1:11" ht="23.25">
      <c r="A372" s="16"/>
      <c r="B372" s="11" t="s">
        <v>289</v>
      </c>
      <c r="C372" s="11"/>
      <c r="D372" s="11"/>
      <c r="E372" s="145"/>
      <c r="F372" s="411">
        <v>411003</v>
      </c>
      <c r="G372" s="403"/>
      <c r="H372" s="405">
        <v>1200</v>
      </c>
      <c r="I372" s="406"/>
      <c r="J372" s="405"/>
      <c r="K372" s="406"/>
    </row>
    <row r="373" spans="1:11" ht="23.25">
      <c r="A373" s="16"/>
      <c r="B373" s="11" t="s">
        <v>411</v>
      </c>
      <c r="C373" s="11"/>
      <c r="D373" s="11"/>
      <c r="E373" s="145"/>
      <c r="F373" s="411">
        <v>411004</v>
      </c>
      <c r="G373" s="403"/>
      <c r="H373" s="405">
        <v>6280</v>
      </c>
      <c r="I373" s="406"/>
      <c r="J373" s="405"/>
      <c r="K373" s="406"/>
    </row>
    <row r="374" spans="1:11" ht="23.25">
      <c r="A374" s="16"/>
      <c r="B374" s="11" t="s">
        <v>412</v>
      </c>
      <c r="C374" s="11"/>
      <c r="D374" s="11"/>
      <c r="E374" s="145"/>
      <c r="F374" s="411">
        <v>412103</v>
      </c>
      <c r="G374" s="403"/>
      <c r="H374" s="405">
        <v>111.55</v>
      </c>
      <c r="I374" s="406"/>
      <c r="J374" s="405"/>
      <c r="K374" s="406"/>
    </row>
    <row r="375" spans="1:11" ht="23.25">
      <c r="A375" s="16"/>
      <c r="B375" s="11" t="s">
        <v>413</v>
      </c>
      <c r="C375" s="11"/>
      <c r="D375" s="11"/>
      <c r="E375" s="145"/>
      <c r="F375" s="411">
        <v>412111</v>
      </c>
      <c r="G375" s="403"/>
      <c r="H375" s="405">
        <v>280</v>
      </c>
      <c r="I375" s="406"/>
      <c r="J375" s="405"/>
      <c r="K375" s="406"/>
    </row>
    <row r="376" spans="1:11" ht="23.25">
      <c r="A376" s="16"/>
      <c r="B376" s="11" t="s">
        <v>414</v>
      </c>
      <c r="C376" s="11"/>
      <c r="D376" s="11"/>
      <c r="E376" s="145"/>
      <c r="F376" s="411">
        <v>412128</v>
      </c>
      <c r="G376" s="403"/>
      <c r="H376" s="405">
        <v>100</v>
      </c>
      <c r="I376" s="406"/>
      <c r="J376" s="405"/>
      <c r="K376" s="406"/>
    </row>
    <row r="377" spans="1:11" ht="23.25">
      <c r="A377" s="16"/>
      <c r="B377" s="11" t="s">
        <v>415</v>
      </c>
      <c r="C377" s="11"/>
      <c r="D377" s="11"/>
      <c r="E377" s="145"/>
      <c r="F377" s="411">
        <v>412210</v>
      </c>
      <c r="G377" s="403"/>
      <c r="H377" s="405">
        <v>67848</v>
      </c>
      <c r="I377" s="406"/>
      <c r="J377" s="405"/>
      <c r="K377" s="406"/>
    </row>
    <row r="378" spans="1:11" ht="23.25">
      <c r="A378" s="16"/>
      <c r="B378" s="11" t="s">
        <v>416</v>
      </c>
      <c r="C378" s="11"/>
      <c r="D378" s="11"/>
      <c r="E378" s="145"/>
      <c r="F378" s="411">
        <v>413002</v>
      </c>
      <c r="G378" s="403"/>
      <c r="H378" s="405">
        <v>3300</v>
      </c>
      <c r="I378" s="406"/>
      <c r="J378" s="405"/>
      <c r="K378" s="406"/>
    </row>
    <row r="379" spans="1:11" ht="23.25">
      <c r="A379" s="157"/>
      <c r="B379" s="11" t="s">
        <v>417</v>
      </c>
      <c r="C379" s="11"/>
      <c r="D379" s="11"/>
      <c r="E379" s="145"/>
      <c r="F379" s="411">
        <v>413003</v>
      </c>
      <c r="G379" s="403"/>
      <c r="H379" s="416">
        <v>74725.12</v>
      </c>
      <c r="I379" s="417"/>
      <c r="J379" s="416"/>
      <c r="K379" s="417"/>
    </row>
    <row r="380" spans="1:11" ht="23.25">
      <c r="A380" s="157"/>
      <c r="B380" s="11" t="s">
        <v>419</v>
      </c>
      <c r="C380" s="11"/>
      <c r="D380" s="11"/>
      <c r="E380" s="145"/>
      <c r="F380" s="411">
        <v>415003</v>
      </c>
      <c r="G380" s="403"/>
      <c r="H380" s="416">
        <v>1</v>
      </c>
      <c r="I380" s="417"/>
      <c r="J380" s="202"/>
      <c r="K380" s="203"/>
    </row>
    <row r="381" spans="1:11" ht="23.25">
      <c r="A381" s="159"/>
      <c r="B381" s="11" t="s">
        <v>387</v>
      </c>
      <c r="C381" s="11"/>
      <c r="D381" s="11"/>
      <c r="E381" s="145"/>
      <c r="F381" s="411">
        <v>415004</v>
      </c>
      <c r="G381" s="403"/>
      <c r="H381" s="416">
        <v>57700</v>
      </c>
      <c r="I381" s="417"/>
      <c r="J381" s="416"/>
      <c r="K381" s="417"/>
    </row>
    <row r="382" spans="1:11" ht="23.25">
      <c r="A382" s="16"/>
      <c r="B382" s="11" t="s">
        <v>418</v>
      </c>
      <c r="C382" s="11"/>
      <c r="D382" s="11"/>
      <c r="E382" s="145"/>
      <c r="F382" s="411">
        <v>415007</v>
      </c>
      <c r="G382" s="403"/>
      <c r="H382" s="405">
        <v>933</v>
      </c>
      <c r="I382" s="406"/>
      <c r="J382" s="405"/>
      <c r="K382" s="406"/>
    </row>
    <row r="383" spans="1:11" ht="23.25">
      <c r="A383" s="16"/>
      <c r="B383" s="11" t="s">
        <v>420</v>
      </c>
      <c r="C383" s="11"/>
      <c r="D383" s="11"/>
      <c r="E383" s="145"/>
      <c r="F383" s="411">
        <v>415999</v>
      </c>
      <c r="G383" s="403"/>
      <c r="H383" s="405">
        <v>16000</v>
      </c>
      <c r="I383" s="406"/>
      <c r="J383" s="389"/>
      <c r="K383" s="403"/>
    </row>
    <row r="384" spans="1:11" ht="23.25">
      <c r="A384" s="16"/>
      <c r="B384" s="11" t="s">
        <v>425</v>
      </c>
      <c r="C384" s="11"/>
      <c r="D384" s="11"/>
      <c r="E384" s="145"/>
      <c r="F384" s="411">
        <v>416001</v>
      </c>
      <c r="G384" s="403"/>
      <c r="H384" s="416">
        <v>350</v>
      </c>
      <c r="I384" s="417"/>
      <c r="J384" s="26"/>
      <c r="K384" s="158"/>
    </row>
    <row r="385" spans="1:11" ht="23.25">
      <c r="A385" s="16"/>
      <c r="B385" s="11" t="s">
        <v>421</v>
      </c>
      <c r="C385" s="11"/>
      <c r="D385" s="11"/>
      <c r="E385" s="145"/>
      <c r="F385" s="411">
        <v>421002</v>
      </c>
      <c r="G385" s="403"/>
      <c r="H385" s="405">
        <v>5664967.75</v>
      </c>
      <c r="I385" s="406"/>
      <c r="J385" s="405"/>
      <c r="K385" s="406"/>
    </row>
    <row r="386" spans="1:11" ht="23.25">
      <c r="A386" s="16"/>
      <c r="B386" s="17" t="s">
        <v>293</v>
      </c>
      <c r="C386" s="17"/>
      <c r="D386" s="17"/>
      <c r="E386" s="145"/>
      <c r="F386" s="411">
        <v>421004</v>
      </c>
      <c r="G386" s="403"/>
      <c r="H386" s="405">
        <v>1077724.82</v>
      </c>
      <c r="I386" s="406"/>
      <c r="J386" s="405"/>
      <c r="K386" s="406"/>
    </row>
    <row r="387" spans="1:11" ht="23.25">
      <c r="A387" s="159"/>
      <c r="B387" s="160" t="s">
        <v>422</v>
      </c>
      <c r="C387" s="160"/>
      <c r="D387" s="160"/>
      <c r="E387" s="160"/>
      <c r="F387" s="411">
        <v>421005</v>
      </c>
      <c r="G387" s="403"/>
      <c r="H387" s="380">
        <v>102934.3</v>
      </c>
      <c r="I387" s="381"/>
      <c r="J387" s="26"/>
      <c r="K387" s="158"/>
    </row>
    <row r="388" spans="1:11" ht="23.25">
      <c r="A388" s="16"/>
      <c r="B388" s="17" t="s">
        <v>295</v>
      </c>
      <c r="C388" s="17"/>
      <c r="D388" s="17"/>
      <c r="E388" s="145"/>
      <c r="F388" s="411">
        <v>421006</v>
      </c>
      <c r="G388" s="403"/>
      <c r="H388" s="416">
        <v>468193.25</v>
      </c>
      <c r="I388" s="417"/>
      <c r="J388" s="405"/>
      <c r="K388" s="406"/>
    </row>
    <row r="389" spans="1:11" ht="23.25">
      <c r="A389" s="16"/>
      <c r="B389" s="11" t="s">
        <v>423</v>
      </c>
      <c r="C389" s="11"/>
      <c r="D389" s="11"/>
      <c r="E389" s="145"/>
      <c r="F389" s="411">
        <v>421007</v>
      </c>
      <c r="G389" s="403"/>
      <c r="H389" s="441">
        <v>841396.89</v>
      </c>
      <c r="I389" s="406"/>
      <c r="J389" s="405"/>
      <c r="K389" s="406"/>
    </row>
    <row r="390" spans="1:11" ht="24" thickBot="1">
      <c r="A390" s="149"/>
      <c r="B390" s="150"/>
      <c r="C390" s="150"/>
      <c r="D390" s="150"/>
      <c r="E390" s="151"/>
      <c r="F390" s="411"/>
      <c r="G390" s="403"/>
      <c r="H390" s="438">
        <f>SUM(H370:H389)</f>
        <v>8443364.16</v>
      </c>
      <c r="I390" s="439"/>
      <c r="J390" s="423">
        <f>SUM(J370:J389)</f>
        <v>0</v>
      </c>
      <c r="K390" s="440"/>
    </row>
    <row r="391" spans="1:11" ht="24" thickTop="1">
      <c r="A391" s="146" t="s">
        <v>230</v>
      </c>
      <c r="B391" s="147" t="s">
        <v>231</v>
      </c>
      <c r="C391" s="147"/>
      <c r="D391" s="143"/>
      <c r="E391" s="143"/>
      <c r="F391" s="143"/>
      <c r="G391" s="143"/>
      <c r="H391" s="17"/>
      <c r="I391" s="17"/>
      <c r="J391" s="17"/>
      <c r="K391" s="145"/>
    </row>
    <row r="392" spans="1:11" ht="23.25">
      <c r="A392" s="418" t="s">
        <v>396</v>
      </c>
      <c r="B392" s="419"/>
      <c r="C392" s="419"/>
      <c r="D392" s="419"/>
      <c r="E392" s="419"/>
      <c r="F392" s="419"/>
      <c r="G392" s="419"/>
      <c r="H392" s="419"/>
      <c r="I392" s="419"/>
      <c r="J392" s="419"/>
      <c r="K392" s="443"/>
    </row>
    <row r="393" spans="1:11" ht="23.25">
      <c r="A393" s="414"/>
      <c r="B393" s="400"/>
      <c r="C393" s="400"/>
      <c r="D393" s="400"/>
      <c r="E393" s="400"/>
      <c r="F393" s="400"/>
      <c r="G393" s="400"/>
      <c r="H393" s="400"/>
      <c r="I393" s="400"/>
      <c r="J393" s="400"/>
      <c r="K393" s="415"/>
    </row>
    <row r="394" spans="1:11" ht="23.25">
      <c r="A394" s="148" t="s">
        <v>177</v>
      </c>
      <c r="B394" s="143"/>
      <c r="C394" s="144"/>
      <c r="D394" s="148" t="s">
        <v>232</v>
      </c>
      <c r="E394" s="143"/>
      <c r="F394" s="143"/>
      <c r="G394" s="144"/>
      <c r="H394" s="147" t="s">
        <v>233</v>
      </c>
      <c r="I394" s="147"/>
      <c r="J394" s="143"/>
      <c r="K394" s="144"/>
    </row>
    <row r="395" spans="1:11" ht="23.25">
      <c r="A395" s="411"/>
      <c r="B395" s="389"/>
      <c r="C395" s="403"/>
      <c r="D395" s="411"/>
      <c r="E395" s="389"/>
      <c r="F395" s="389"/>
      <c r="G395" s="403"/>
      <c r="H395" s="411"/>
      <c r="I395" s="389"/>
      <c r="J395" s="389"/>
      <c r="K395" s="403"/>
    </row>
    <row r="396" spans="1:11" ht="23.25">
      <c r="A396" s="149"/>
      <c r="B396" s="150"/>
      <c r="C396" s="151"/>
      <c r="D396" s="149"/>
      <c r="E396" s="150"/>
      <c r="F396" s="150"/>
      <c r="G396" s="151"/>
      <c r="H396" s="150"/>
      <c r="I396" s="150"/>
      <c r="J396" s="150"/>
      <c r="K396" s="151"/>
    </row>
  </sheetData>
  <sheetProtection/>
  <mergeCells count="850">
    <mergeCell ref="F92:G92"/>
    <mergeCell ref="B57:E57"/>
    <mergeCell ref="F57:G57"/>
    <mergeCell ref="H57:I57"/>
    <mergeCell ref="C61:E61"/>
    <mergeCell ref="F61:G61"/>
    <mergeCell ref="A70:K70"/>
    <mergeCell ref="F60:G60"/>
    <mergeCell ref="J72:K72"/>
    <mergeCell ref="A64:K64"/>
    <mergeCell ref="H72:I72"/>
    <mergeCell ref="F72:G72"/>
    <mergeCell ref="A72:E72"/>
    <mergeCell ref="H53:I53"/>
    <mergeCell ref="H55:I55"/>
    <mergeCell ref="H48:I48"/>
    <mergeCell ref="F58:G58"/>
    <mergeCell ref="F55:G55"/>
    <mergeCell ref="I68:K68"/>
    <mergeCell ref="J62:K62"/>
    <mergeCell ref="F73:G73"/>
    <mergeCell ref="F45:G45"/>
    <mergeCell ref="B12:E12"/>
    <mergeCell ref="C23:E23"/>
    <mergeCell ref="F54:G54"/>
    <mergeCell ref="F26:G26"/>
    <mergeCell ref="F25:G25"/>
    <mergeCell ref="B13:E13"/>
    <mergeCell ref="B47:D47"/>
    <mergeCell ref="F46:G46"/>
    <mergeCell ref="F23:G23"/>
    <mergeCell ref="F20:G20"/>
    <mergeCell ref="C21:E21"/>
    <mergeCell ref="F39:G39"/>
    <mergeCell ref="H26:I26"/>
    <mergeCell ref="H56:I56"/>
    <mergeCell ref="H54:I54"/>
    <mergeCell ref="H23:I23"/>
    <mergeCell ref="H46:I46"/>
    <mergeCell ref="H45:I45"/>
    <mergeCell ref="C16:E16"/>
    <mergeCell ref="F16:G16"/>
    <mergeCell ref="H47:I47"/>
    <mergeCell ref="C18:E18"/>
    <mergeCell ref="H50:I50"/>
    <mergeCell ref="C22:E22"/>
    <mergeCell ref="A25:E25"/>
    <mergeCell ref="F43:G43"/>
    <mergeCell ref="H41:I41"/>
    <mergeCell ref="H25:I25"/>
    <mergeCell ref="F282:G282"/>
    <mergeCell ref="F276:G276"/>
    <mergeCell ref="B271:E271"/>
    <mergeCell ref="B240:E240"/>
    <mergeCell ref="F258:G258"/>
    <mergeCell ref="A263:C263"/>
    <mergeCell ref="D263:G263"/>
    <mergeCell ref="F251:G251"/>
    <mergeCell ref="A260:K260"/>
    <mergeCell ref="A261:K261"/>
    <mergeCell ref="H282:I282"/>
    <mergeCell ref="J282:K282"/>
    <mergeCell ref="F283:G283"/>
    <mergeCell ref="F89:G89"/>
    <mergeCell ref="H283:I283"/>
    <mergeCell ref="J283:K283"/>
    <mergeCell ref="F280:G280"/>
    <mergeCell ref="H280:I280"/>
    <mergeCell ref="J280:K280"/>
    <mergeCell ref="F281:G281"/>
    <mergeCell ref="A292:K292"/>
    <mergeCell ref="J289:K289"/>
    <mergeCell ref="F284:G284"/>
    <mergeCell ref="H284:I284"/>
    <mergeCell ref="J284:K284"/>
    <mergeCell ref="F285:G285"/>
    <mergeCell ref="H285:I285"/>
    <mergeCell ref="J285:K285"/>
    <mergeCell ref="A291:K291"/>
    <mergeCell ref="A294:C294"/>
    <mergeCell ref="D294:G294"/>
    <mergeCell ref="H294:K294"/>
    <mergeCell ref="F287:G287"/>
    <mergeCell ref="J287:K287"/>
    <mergeCell ref="F288:G288"/>
    <mergeCell ref="H288:I288"/>
    <mergeCell ref="J288:K288"/>
    <mergeCell ref="F289:G289"/>
    <mergeCell ref="H289:I289"/>
    <mergeCell ref="H281:I281"/>
    <mergeCell ref="J281:K281"/>
    <mergeCell ref="F278:G278"/>
    <mergeCell ref="H278:I278"/>
    <mergeCell ref="J278:K278"/>
    <mergeCell ref="F279:G279"/>
    <mergeCell ref="H279:I279"/>
    <mergeCell ref="J279:K279"/>
    <mergeCell ref="J276:K276"/>
    <mergeCell ref="F277:G277"/>
    <mergeCell ref="H277:I277"/>
    <mergeCell ref="J277:K277"/>
    <mergeCell ref="F274:G274"/>
    <mergeCell ref="H274:I274"/>
    <mergeCell ref="J274:K274"/>
    <mergeCell ref="F275:G275"/>
    <mergeCell ref="H275:I275"/>
    <mergeCell ref="J271:K271"/>
    <mergeCell ref="F272:G272"/>
    <mergeCell ref="H272:I272"/>
    <mergeCell ref="J272:K272"/>
    <mergeCell ref="F273:G273"/>
    <mergeCell ref="H273:I273"/>
    <mergeCell ref="J273:K273"/>
    <mergeCell ref="F271:G271"/>
    <mergeCell ref="H271:I271"/>
    <mergeCell ref="I266:K266"/>
    <mergeCell ref="I267:K267"/>
    <mergeCell ref="A268:K268"/>
    <mergeCell ref="A270:E270"/>
    <mergeCell ref="F270:G270"/>
    <mergeCell ref="H270:I270"/>
    <mergeCell ref="J270:K270"/>
    <mergeCell ref="H263:K263"/>
    <mergeCell ref="F254:G254"/>
    <mergeCell ref="H254:I254"/>
    <mergeCell ref="J254:K254"/>
    <mergeCell ref="F256:G256"/>
    <mergeCell ref="J256:K256"/>
    <mergeCell ref="F257:G257"/>
    <mergeCell ref="H257:I257"/>
    <mergeCell ref="H258:I258"/>
    <mergeCell ref="J258:K258"/>
    <mergeCell ref="H251:I251"/>
    <mergeCell ref="J251:K251"/>
    <mergeCell ref="F252:G252"/>
    <mergeCell ref="H252:I252"/>
    <mergeCell ref="J252:K252"/>
    <mergeCell ref="J257:K257"/>
    <mergeCell ref="F253:G253"/>
    <mergeCell ref="H253:I253"/>
    <mergeCell ref="J253:K253"/>
    <mergeCell ref="F249:G249"/>
    <mergeCell ref="H249:I249"/>
    <mergeCell ref="J249:K249"/>
    <mergeCell ref="F250:G250"/>
    <mergeCell ref="H250:I250"/>
    <mergeCell ref="F246:G246"/>
    <mergeCell ref="H246:I246"/>
    <mergeCell ref="J246:K246"/>
    <mergeCell ref="J250:K250"/>
    <mergeCell ref="F247:G247"/>
    <mergeCell ref="H247:I247"/>
    <mergeCell ref="J247:K247"/>
    <mergeCell ref="F248:G248"/>
    <mergeCell ref="H248:I248"/>
    <mergeCell ref="J248:K248"/>
    <mergeCell ref="F241:G241"/>
    <mergeCell ref="H241:I241"/>
    <mergeCell ref="J241:K241"/>
    <mergeCell ref="H242:I242"/>
    <mergeCell ref="J242:K242"/>
    <mergeCell ref="F245:G245"/>
    <mergeCell ref="H245:I245"/>
    <mergeCell ref="J245:K245"/>
    <mergeCell ref="H151:I151"/>
    <mergeCell ref="H108:I108"/>
    <mergeCell ref="C89:E89"/>
    <mergeCell ref="H239:I239"/>
    <mergeCell ref="J239:K239"/>
    <mergeCell ref="F240:G240"/>
    <mergeCell ref="H240:I240"/>
    <mergeCell ref="J240:K240"/>
    <mergeCell ref="J139:K139"/>
    <mergeCell ref="H140:I140"/>
    <mergeCell ref="H147:I147"/>
    <mergeCell ref="H238:I238"/>
    <mergeCell ref="J238:K238"/>
    <mergeCell ref="J151:K151"/>
    <mergeCell ref="I234:K234"/>
    <mergeCell ref="I235:K235"/>
    <mergeCell ref="J146:K146"/>
    <mergeCell ref="C86:E86"/>
    <mergeCell ref="I102:K102"/>
    <mergeCell ref="I101:K101"/>
    <mergeCell ref="H138:I138"/>
    <mergeCell ref="F90:G90"/>
    <mergeCell ref="F56:G56"/>
    <mergeCell ref="B56:E56"/>
    <mergeCell ref="A95:K95"/>
    <mergeCell ref="J138:K138"/>
    <mergeCell ref="I135:K135"/>
    <mergeCell ref="J145:K145"/>
    <mergeCell ref="H105:I105"/>
    <mergeCell ref="H78:I78"/>
    <mergeCell ref="D98:G98"/>
    <mergeCell ref="H98:K98"/>
    <mergeCell ref="C76:E76"/>
    <mergeCell ref="F76:G76"/>
    <mergeCell ref="H144:I144"/>
    <mergeCell ref="F141:G141"/>
    <mergeCell ref="F143:G143"/>
    <mergeCell ref="F47:G47"/>
    <mergeCell ref="F52:G52"/>
    <mergeCell ref="F53:G53"/>
    <mergeCell ref="H52:I52"/>
    <mergeCell ref="J51:K51"/>
    <mergeCell ref="F51:G51"/>
    <mergeCell ref="H49:I49"/>
    <mergeCell ref="H51:I51"/>
    <mergeCell ref="H142:I142"/>
    <mergeCell ref="J105:K105"/>
    <mergeCell ref="J78:K78"/>
    <mergeCell ref="F108:G108"/>
    <mergeCell ref="H139:I139"/>
    <mergeCell ref="F140:G140"/>
    <mergeCell ref="F122:G122"/>
    <mergeCell ref="H122:I122"/>
    <mergeCell ref="F125:G125"/>
    <mergeCell ref="H125:I125"/>
    <mergeCell ref="R9:S9"/>
    <mergeCell ref="R10:S10"/>
    <mergeCell ref="F12:G12"/>
    <mergeCell ref="H42:I42"/>
    <mergeCell ref="A37:K37"/>
    <mergeCell ref="A30:K30"/>
    <mergeCell ref="A26:E26"/>
    <mergeCell ref="J39:K39"/>
    <mergeCell ref="A29:K29"/>
    <mergeCell ref="A39:E39"/>
    <mergeCell ref="I2:K2"/>
    <mergeCell ref="I35:K35"/>
    <mergeCell ref="I36:K36"/>
    <mergeCell ref="F44:G44"/>
    <mergeCell ref="H44:I44"/>
    <mergeCell ref="J44:K44"/>
    <mergeCell ref="J42:K42"/>
    <mergeCell ref="H39:I39"/>
    <mergeCell ref="F40:G40"/>
    <mergeCell ref="H40:I40"/>
    <mergeCell ref="H155:I155"/>
    <mergeCell ref="C17:E17"/>
    <mergeCell ref="F17:G17"/>
    <mergeCell ref="J17:K17"/>
    <mergeCell ref="F152:G152"/>
    <mergeCell ref="H152:I152"/>
    <mergeCell ref="J152:K152"/>
    <mergeCell ref="F148:G148"/>
    <mergeCell ref="F48:G48"/>
    <mergeCell ref="F147:G147"/>
    <mergeCell ref="F154:G154"/>
    <mergeCell ref="A136:K136"/>
    <mergeCell ref="B144:E144"/>
    <mergeCell ref="F144:G144"/>
    <mergeCell ref="J149:K149"/>
    <mergeCell ref="F151:G151"/>
    <mergeCell ref="F146:G146"/>
    <mergeCell ref="H146:I146"/>
    <mergeCell ref="F145:G145"/>
    <mergeCell ref="H145:I145"/>
    <mergeCell ref="A238:E238"/>
    <mergeCell ref="F238:G238"/>
    <mergeCell ref="F239:G239"/>
    <mergeCell ref="F242:G242"/>
    <mergeCell ref="H149:I149"/>
    <mergeCell ref="H171:I171"/>
    <mergeCell ref="F177:G177"/>
    <mergeCell ref="H177:I177"/>
    <mergeCell ref="F180:G180"/>
    <mergeCell ref="A236:K236"/>
    <mergeCell ref="H163:K163"/>
    <mergeCell ref="F153:G153"/>
    <mergeCell ref="H153:I153"/>
    <mergeCell ref="J153:K153"/>
    <mergeCell ref="J157:K157"/>
    <mergeCell ref="F157:G157"/>
    <mergeCell ref="H157:I157"/>
    <mergeCell ref="H154:I154"/>
    <mergeCell ref="H156:I156"/>
    <mergeCell ref="A160:K160"/>
    <mergeCell ref="H148:I148"/>
    <mergeCell ref="J148:K148"/>
    <mergeCell ref="A138:E138"/>
    <mergeCell ref="F138:G138"/>
    <mergeCell ref="J147:K147"/>
    <mergeCell ref="F142:G142"/>
    <mergeCell ref="J142:K142"/>
    <mergeCell ref="B139:E139"/>
    <mergeCell ref="B140:E140"/>
    <mergeCell ref="J144:K144"/>
    <mergeCell ref="A128:K128"/>
    <mergeCell ref="F139:G139"/>
    <mergeCell ref="J140:K140"/>
    <mergeCell ref="J122:K122"/>
    <mergeCell ref="H131:K131"/>
    <mergeCell ref="A129:K129"/>
    <mergeCell ref="I134:K134"/>
    <mergeCell ref="A131:C131"/>
    <mergeCell ref="D131:G131"/>
    <mergeCell ref="F124:G124"/>
    <mergeCell ref="J124:K124"/>
    <mergeCell ref="F120:G120"/>
    <mergeCell ref="H120:I120"/>
    <mergeCell ref="J120:K120"/>
    <mergeCell ref="J125:K125"/>
    <mergeCell ref="F126:G126"/>
    <mergeCell ref="H126:I126"/>
    <mergeCell ref="J126:K126"/>
    <mergeCell ref="F121:G121"/>
    <mergeCell ref="H121:I121"/>
    <mergeCell ref="J121:K121"/>
    <mergeCell ref="J113:K113"/>
    <mergeCell ref="F118:G118"/>
    <mergeCell ref="H118:I118"/>
    <mergeCell ref="J118:K118"/>
    <mergeCell ref="F119:G119"/>
    <mergeCell ref="H119:I119"/>
    <mergeCell ref="J119:K119"/>
    <mergeCell ref="F116:G116"/>
    <mergeCell ref="H116:I116"/>
    <mergeCell ref="J116:K116"/>
    <mergeCell ref="F117:G117"/>
    <mergeCell ref="H117:I117"/>
    <mergeCell ref="J117:K117"/>
    <mergeCell ref="F114:G114"/>
    <mergeCell ref="H114:I114"/>
    <mergeCell ref="J114:K114"/>
    <mergeCell ref="F111:G111"/>
    <mergeCell ref="H111:I111"/>
    <mergeCell ref="J111:K111"/>
    <mergeCell ref="F112:G112"/>
    <mergeCell ref="H112:I112"/>
    <mergeCell ref="J112:K112"/>
    <mergeCell ref="F113:G113"/>
    <mergeCell ref="H87:I87"/>
    <mergeCell ref="J87:K87"/>
    <mergeCell ref="C87:E87"/>
    <mergeCell ref="C90:E90"/>
    <mergeCell ref="F88:G88"/>
    <mergeCell ref="J93:K93"/>
    <mergeCell ref="F91:G91"/>
    <mergeCell ref="F93:G93"/>
    <mergeCell ref="H93:I93"/>
    <mergeCell ref="F85:G85"/>
    <mergeCell ref="J85:K85"/>
    <mergeCell ref="H85:I85"/>
    <mergeCell ref="J82:K82"/>
    <mergeCell ref="J84:K84"/>
    <mergeCell ref="H84:I84"/>
    <mergeCell ref="F84:G84"/>
    <mergeCell ref="F106:G106"/>
    <mergeCell ref="F79:G79"/>
    <mergeCell ref="F80:G80"/>
    <mergeCell ref="J80:K80"/>
    <mergeCell ref="H80:I80"/>
    <mergeCell ref="J86:K86"/>
    <mergeCell ref="F86:G86"/>
    <mergeCell ref="H86:I86"/>
    <mergeCell ref="F81:G81"/>
    <mergeCell ref="F82:G82"/>
    <mergeCell ref="J77:K77"/>
    <mergeCell ref="H77:I77"/>
    <mergeCell ref="F77:G77"/>
    <mergeCell ref="J74:K74"/>
    <mergeCell ref="J75:K75"/>
    <mergeCell ref="J83:K83"/>
    <mergeCell ref="H75:I75"/>
    <mergeCell ref="F75:G75"/>
    <mergeCell ref="J79:K79"/>
    <mergeCell ref="H79:I79"/>
    <mergeCell ref="I69:K69"/>
    <mergeCell ref="H73:I73"/>
    <mergeCell ref="H83:I83"/>
    <mergeCell ref="F83:G83"/>
    <mergeCell ref="H81:I81"/>
    <mergeCell ref="F74:G74"/>
    <mergeCell ref="H74:I74"/>
    <mergeCell ref="F78:G78"/>
    <mergeCell ref="H82:I82"/>
    <mergeCell ref="J73:K73"/>
    <mergeCell ref="F42:G42"/>
    <mergeCell ref="J43:K43"/>
    <mergeCell ref="H43:I43"/>
    <mergeCell ref="J81:K81"/>
    <mergeCell ref="J49:K49"/>
    <mergeCell ref="F49:G49"/>
    <mergeCell ref="F50:G50"/>
    <mergeCell ref="F62:G62"/>
    <mergeCell ref="H62:I62"/>
    <mergeCell ref="J58:K58"/>
    <mergeCell ref="J25:K25"/>
    <mergeCell ref="J45:K45"/>
    <mergeCell ref="J26:K26"/>
    <mergeCell ref="A27:E27"/>
    <mergeCell ref="F27:G27"/>
    <mergeCell ref="H27:I27"/>
    <mergeCell ref="J27:K27"/>
    <mergeCell ref="J40:K40"/>
    <mergeCell ref="F41:G41"/>
    <mergeCell ref="J41:K41"/>
    <mergeCell ref="J23:K23"/>
    <mergeCell ref="A24:E24"/>
    <mergeCell ref="F24:G24"/>
    <mergeCell ref="H24:I24"/>
    <mergeCell ref="J24:K24"/>
    <mergeCell ref="J20:K20"/>
    <mergeCell ref="F21:G21"/>
    <mergeCell ref="H21:I21"/>
    <mergeCell ref="J21:K21"/>
    <mergeCell ref="H22:I22"/>
    <mergeCell ref="J22:K22"/>
    <mergeCell ref="F22:G22"/>
    <mergeCell ref="F14:G14"/>
    <mergeCell ref="J14:K14"/>
    <mergeCell ref="F15:G15"/>
    <mergeCell ref="J15:K15"/>
    <mergeCell ref="F18:G18"/>
    <mergeCell ref="J18:K18"/>
    <mergeCell ref="F19:G19"/>
    <mergeCell ref="J19:K19"/>
    <mergeCell ref="F8:G8"/>
    <mergeCell ref="F11:G11"/>
    <mergeCell ref="H11:I11"/>
    <mergeCell ref="F13:G13"/>
    <mergeCell ref="J13:K13"/>
    <mergeCell ref="H12:I12"/>
    <mergeCell ref="H14:I14"/>
    <mergeCell ref="F7:G7"/>
    <mergeCell ref="H7:I7"/>
    <mergeCell ref="J7:K7"/>
    <mergeCell ref="H8:I8"/>
    <mergeCell ref="J8:K8"/>
    <mergeCell ref="F9:G9"/>
    <mergeCell ref="H9:I9"/>
    <mergeCell ref="J9:K9"/>
    <mergeCell ref="J10:K10"/>
    <mergeCell ref="J171:K171"/>
    <mergeCell ref="I167:K167"/>
    <mergeCell ref="I168:K168"/>
    <mergeCell ref="A169:K169"/>
    <mergeCell ref="A4:K4"/>
    <mergeCell ref="A6:E6"/>
    <mergeCell ref="F6:G6"/>
    <mergeCell ref="H6:I6"/>
    <mergeCell ref="J6:K6"/>
    <mergeCell ref="A103:K103"/>
    <mergeCell ref="J175:K175"/>
    <mergeCell ref="F176:G176"/>
    <mergeCell ref="H176:I176"/>
    <mergeCell ref="J176:K176"/>
    <mergeCell ref="F172:G172"/>
    <mergeCell ref="H172:I172"/>
    <mergeCell ref="J172:K172"/>
    <mergeCell ref="F174:G174"/>
    <mergeCell ref="H174:I174"/>
    <mergeCell ref="J174:K174"/>
    <mergeCell ref="J177:K177"/>
    <mergeCell ref="F178:G178"/>
    <mergeCell ref="H178:I178"/>
    <mergeCell ref="J178:K178"/>
    <mergeCell ref="F179:G179"/>
    <mergeCell ref="H179:I179"/>
    <mergeCell ref="J179:K179"/>
    <mergeCell ref="H180:I180"/>
    <mergeCell ref="J180:K180"/>
    <mergeCell ref="F181:G181"/>
    <mergeCell ref="H181:I181"/>
    <mergeCell ref="J181:K181"/>
    <mergeCell ref="F183:G183"/>
    <mergeCell ref="H183:I183"/>
    <mergeCell ref="J183:K183"/>
    <mergeCell ref="H182:I182"/>
    <mergeCell ref="F182:G182"/>
    <mergeCell ref="H187:I187"/>
    <mergeCell ref="F184:G184"/>
    <mergeCell ref="H184:I184"/>
    <mergeCell ref="J184:K184"/>
    <mergeCell ref="F185:G185"/>
    <mergeCell ref="H185:I185"/>
    <mergeCell ref="J185:K185"/>
    <mergeCell ref="H189:I189"/>
    <mergeCell ref="H190:I190"/>
    <mergeCell ref="F192:G192"/>
    <mergeCell ref="H192:I192"/>
    <mergeCell ref="J192:K192"/>
    <mergeCell ref="F186:G186"/>
    <mergeCell ref="H186:I186"/>
    <mergeCell ref="J186:K186"/>
    <mergeCell ref="F188:G188"/>
    <mergeCell ref="J188:K188"/>
    <mergeCell ref="H206:I206"/>
    <mergeCell ref="J206:K206"/>
    <mergeCell ref="J187:K187"/>
    <mergeCell ref="H188:I188"/>
    <mergeCell ref="F191:G191"/>
    <mergeCell ref="H191:I191"/>
    <mergeCell ref="J191:K191"/>
    <mergeCell ref="F190:G190"/>
    <mergeCell ref="J190:K190"/>
    <mergeCell ref="F189:G189"/>
    <mergeCell ref="J207:K207"/>
    <mergeCell ref="F208:G208"/>
    <mergeCell ref="H208:I208"/>
    <mergeCell ref="J208:K208"/>
    <mergeCell ref="I202:K202"/>
    <mergeCell ref="I203:K203"/>
    <mergeCell ref="A204:K204"/>
    <mergeCell ref="A205:C205"/>
    <mergeCell ref="A206:E206"/>
    <mergeCell ref="F206:G206"/>
    <mergeCell ref="H211:I211"/>
    <mergeCell ref="J211:K211"/>
    <mergeCell ref="F212:G212"/>
    <mergeCell ref="H212:I212"/>
    <mergeCell ref="J212:K212"/>
    <mergeCell ref="J209:K209"/>
    <mergeCell ref="F210:G210"/>
    <mergeCell ref="H210:I210"/>
    <mergeCell ref="J210:K210"/>
    <mergeCell ref="F209:G209"/>
    <mergeCell ref="H217:I217"/>
    <mergeCell ref="J217:K217"/>
    <mergeCell ref="F216:G216"/>
    <mergeCell ref="H216:I216"/>
    <mergeCell ref="J216:K216"/>
    <mergeCell ref="H213:I213"/>
    <mergeCell ref="J213:K213"/>
    <mergeCell ref="F214:G214"/>
    <mergeCell ref="H214:I214"/>
    <mergeCell ref="J214:K214"/>
    <mergeCell ref="F218:G218"/>
    <mergeCell ref="H218:I218"/>
    <mergeCell ref="J218:K218"/>
    <mergeCell ref="C217:E217"/>
    <mergeCell ref="A227:K227"/>
    <mergeCell ref="A223:E223"/>
    <mergeCell ref="F223:G223"/>
    <mergeCell ref="H223:I223"/>
    <mergeCell ref="J223:K223"/>
    <mergeCell ref="A219:E219"/>
    <mergeCell ref="F219:G219"/>
    <mergeCell ref="H219:I219"/>
    <mergeCell ref="J219:K219"/>
    <mergeCell ref="A221:E221"/>
    <mergeCell ref="H143:I143"/>
    <mergeCell ref="A222:E222"/>
    <mergeCell ref="F222:G222"/>
    <mergeCell ref="H222:I222"/>
    <mergeCell ref="J222:K222"/>
    <mergeCell ref="B146:E146"/>
    <mergeCell ref="A226:K226"/>
    <mergeCell ref="F221:G221"/>
    <mergeCell ref="H221:I221"/>
    <mergeCell ref="J221:K221"/>
    <mergeCell ref="F217:G217"/>
    <mergeCell ref="F105:G105"/>
    <mergeCell ref="A224:E224"/>
    <mergeCell ref="F224:G224"/>
    <mergeCell ref="H224:I224"/>
    <mergeCell ref="J224:K224"/>
    <mergeCell ref="A105:E105"/>
    <mergeCell ref="F87:G87"/>
    <mergeCell ref="B141:E141"/>
    <mergeCell ref="B142:E142"/>
    <mergeCell ref="B143:E143"/>
    <mergeCell ref="H141:I141"/>
    <mergeCell ref="F115:G115"/>
    <mergeCell ref="H115:I115"/>
    <mergeCell ref="H113:I113"/>
    <mergeCell ref="H106:I106"/>
    <mergeCell ref="A98:C98"/>
    <mergeCell ref="J110:K110"/>
    <mergeCell ref="B145:E145"/>
    <mergeCell ref="F110:G110"/>
    <mergeCell ref="H110:I110"/>
    <mergeCell ref="J106:K106"/>
    <mergeCell ref="F107:G107"/>
    <mergeCell ref="H107:I107"/>
    <mergeCell ref="J107:K107"/>
    <mergeCell ref="J115:K115"/>
    <mergeCell ref="B155:E155"/>
    <mergeCell ref="B156:E156"/>
    <mergeCell ref="F155:G155"/>
    <mergeCell ref="F156:G156"/>
    <mergeCell ref="F149:G149"/>
    <mergeCell ref="D163:G163"/>
    <mergeCell ref="B152:E152"/>
    <mergeCell ref="B153:E153"/>
    <mergeCell ref="B154:E154"/>
    <mergeCell ref="B157:E157"/>
    <mergeCell ref="C216:E216"/>
    <mergeCell ref="A194:K194"/>
    <mergeCell ref="A197:C197"/>
    <mergeCell ref="D197:G197"/>
    <mergeCell ref="H197:K197"/>
    <mergeCell ref="C211:E211"/>
    <mergeCell ref="J215:K215"/>
    <mergeCell ref="F215:G215"/>
    <mergeCell ref="H215:I215"/>
    <mergeCell ref="C212:E212"/>
    <mergeCell ref="C213:E213"/>
    <mergeCell ref="C214:E214"/>
    <mergeCell ref="F213:G213"/>
    <mergeCell ref="C184:E184"/>
    <mergeCell ref="C185:E185"/>
    <mergeCell ref="C186:E186"/>
    <mergeCell ref="C187:E187"/>
    <mergeCell ref="C188:E188"/>
    <mergeCell ref="F211:G211"/>
    <mergeCell ref="F187:G187"/>
    <mergeCell ref="H209:I209"/>
    <mergeCell ref="C208:E208"/>
    <mergeCell ref="C209:E209"/>
    <mergeCell ref="A207:E207"/>
    <mergeCell ref="F207:G207"/>
    <mergeCell ref="H207:I207"/>
    <mergeCell ref="B181:E181"/>
    <mergeCell ref="B147:E147"/>
    <mergeCell ref="B175:E175"/>
    <mergeCell ref="H175:I175"/>
    <mergeCell ref="F171:G171"/>
    <mergeCell ref="B177:E177"/>
    <mergeCell ref="B148:E148"/>
    <mergeCell ref="B149:E149"/>
    <mergeCell ref="B151:E151"/>
    <mergeCell ref="F175:G175"/>
    <mergeCell ref="B173:E173"/>
    <mergeCell ref="F173:G173"/>
    <mergeCell ref="H173:I173"/>
    <mergeCell ref="B172:E172"/>
    <mergeCell ref="C74:E74"/>
    <mergeCell ref="C210:E210"/>
    <mergeCell ref="C190:E190"/>
    <mergeCell ref="C191:E191"/>
    <mergeCell ref="B174:E174"/>
    <mergeCell ref="C189:E189"/>
    <mergeCell ref="A163:C163"/>
    <mergeCell ref="A302:K302"/>
    <mergeCell ref="C215:E215"/>
    <mergeCell ref="B178:E178"/>
    <mergeCell ref="B179:E179"/>
    <mergeCell ref="B180:E180"/>
    <mergeCell ref="B176:E176"/>
    <mergeCell ref="A171:E171"/>
    <mergeCell ref="I300:K300"/>
    <mergeCell ref="I301:K301"/>
    <mergeCell ref="A304:E304"/>
    <mergeCell ref="F304:G304"/>
    <mergeCell ref="H304:I304"/>
    <mergeCell ref="J304:K304"/>
    <mergeCell ref="B272:E272"/>
    <mergeCell ref="F305:G305"/>
    <mergeCell ref="H305:I305"/>
    <mergeCell ref="J305:K305"/>
    <mergeCell ref="J275:K275"/>
    <mergeCell ref="H276:I276"/>
    <mergeCell ref="B306:E306"/>
    <mergeCell ref="F306:G306"/>
    <mergeCell ref="H306:I306"/>
    <mergeCell ref="J306:K306"/>
    <mergeCell ref="F307:G307"/>
    <mergeCell ref="H307:I307"/>
    <mergeCell ref="J307:K307"/>
    <mergeCell ref="F308:G308"/>
    <mergeCell ref="H308:I308"/>
    <mergeCell ref="J308:K308"/>
    <mergeCell ref="F309:G309"/>
    <mergeCell ref="H309:I309"/>
    <mergeCell ref="J309:K309"/>
    <mergeCell ref="F310:G310"/>
    <mergeCell ref="H310:I310"/>
    <mergeCell ref="J310:K310"/>
    <mergeCell ref="F311:G311"/>
    <mergeCell ref="H311:I311"/>
    <mergeCell ref="J311:K311"/>
    <mergeCell ref="F315:G315"/>
    <mergeCell ref="H315:I315"/>
    <mergeCell ref="J315:K315"/>
    <mergeCell ref="F316:G316"/>
    <mergeCell ref="F312:G312"/>
    <mergeCell ref="H312:I312"/>
    <mergeCell ref="J312:K312"/>
    <mergeCell ref="F313:G313"/>
    <mergeCell ref="H313:I313"/>
    <mergeCell ref="J313:K313"/>
    <mergeCell ref="A329:C329"/>
    <mergeCell ref="D329:G329"/>
    <mergeCell ref="H329:K329"/>
    <mergeCell ref="F320:G320"/>
    <mergeCell ref="H320:I320"/>
    <mergeCell ref="J320:K320"/>
    <mergeCell ref="F322:G322"/>
    <mergeCell ref="J322:K322"/>
    <mergeCell ref="A326:K326"/>
    <mergeCell ref="A327:K327"/>
    <mergeCell ref="F324:G324"/>
    <mergeCell ref="H324:I324"/>
    <mergeCell ref="J324:K324"/>
    <mergeCell ref="H316:I316"/>
    <mergeCell ref="J316:K316"/>
    <mergeCell ref="F314:G314"/>
    <mergeCell ref="H314:I314"/>
    <mergeCell ref="J314:K314"/>
    <mergeCell ref="F319:G319"/>
    <mergeCell ref="J323:K323"/>
    <mergeCell ref="F318:G318"/>
    <mergeCell ref="H318:I318"/>
    <mergeCell ref="J318:K318"/>
    <mergeCell ref="F323:G323"/>
    <mergeCell ref="H323:I323"/>
    <mergeCell ref="H319:I319"/>
    <mergeCell ref="J319:K319"/>
    <mergeCell ref="I333:K333"/>
    <mergeCell ref="I334:K334"/>
    <mergeCell ref="A335:K335"/>
    <mergeCell ref="A337:E337"/>
    <mergeCell ref="F337:G337"/>
    <mergeCell ref="H337:I337"/>
    <mergeCell ref="J337:K337"/>
    <mergeCell ref="F338:G338"/>
    <mergeCell ref="H338:I338"/>
    <mergeCell ref="J338:K338"/>
    <mergeCell ref="F339:G339"/>
    <mergeCell ref="H339:I339"/>
    <mergeCell ref="J339:K339"/>
    <mergeCell ref="F340:G340"/>
    <mergeCell ref="H340:I340"/>
    <mergeCell ref="J340:K340"/>
    <mergeCell ref="F341:G341"/>
    <mergeCell ref="H341:I341"/>
    <mergeCell ref="J341:K341"/>
    <mergeCell ref="F342:G342"/>
    <mergeCell ref="H342:I342"/>
    <mergeCell ref="J342:K342"/>
    <mergeCell ref="F343:G343"/>
    <mergeCell ref="H343:I343"/>
    <mergeCell ref="J343:K343"/>
    <mergeCell ref="F344:G344"/>
    <mergeCell ref="H344:I344"/>
    <mergeCell ref="J344:K344"/>
    <mergeCell ref="F345:G345"/>
    <mergeCell ref="H345:I345"/>
    <mergeCell ref="J345:K345"/>
    <mergeCell ref="F346:G346"/>
    <mergeCell ref="H346:I346"/>
    <mergeCell ref="J346:K346"/>
    <mergeCell ref="F347:G347"/>
    <mergeCell ref="H347:I347"/>
    <mergeCell ref="J347:K347"/>
    <mergeCell ref="F348:G348"/>
    <mergeCell ref="H348:I348"/>
    <mergeCell ref="J348:K348"/>
    <mergeCell ref="F349:G349"/>
    <mergeCell ref="H349:I349"/>
    <mergeCell ref="J349:K349"/>
    <mergeCell ref="F351:G351"/>
    <mergeCell ref="H351:I351"/>
    <mergeCell ref="J351:K351"/>
    <mergeCell ref="F352:G352"/>
    <mergeCell ref="H352:I352"/>
    <mergeCell ref="J352:K352"/>
    <mergeCell ref="F353:G353"/>
    <mergeCell ref="H353:I353"/>
    <mergeCell ref="J353:K353"/>
    <mergeCell ref="F355:G355"/>
    <mergeCell ref="J355:K355"/>
    <mergeCell ref="F356:G356"/>
    <mergeCell ref="H356:I356"/>
    <mergeCell ref="J356:K356"/>
    <mergeCell ref="H369:I369"/>
    <mergeCell ref="J369:K369"/>
    <mergeCell ref="F357:G357"/>
    <mergeCell ref="H357:I357"/>
    <mergeCell ref="J357:K357"/>
    <mergeCell ref="A359:K359"/>
    <mergeCell ref="A360:K360"/>
    <mergeCell ref="A362:C362"/>
    <mergeCell ref="D362:G362"/>
    <mergeCell ref="H362:K362"/>
    <mergeCell ref="H370:I370"/>
    <mergeCell ref="J370:K370"/>
    <mergeCell ref="F371:G371"/>
    <mergeCell ref="H371:I371"/>
    <mergeCell ref="J371:K371"/>
    <mergeCell ref="I365:K365"/>
    <mergeCell ref="I366:K366"/>
    <mergeCell ref="A367:K367"/>
    <mergeCell ref="A369:E369"/>
    <mergeCell ref="F369:G369"/>
    <mergeCell ref="J374:K374"/>
    <mergeCell ref="F375:G375"/>
    <mergeCell ref="H375:I375"/>
    <mergeCell ref="J375:K375"/>
    <mergeCell ref="F372:G372"/>
    <mergeCell ref="H372:I372"/>
    <mergeCell ref="J372:K372"/>
    <mergeCell ref="F373:G373"/>
    <mergeCell ref="H373:I373"/>
    <mergeCell ref="J373:K373"/>
    <mergeCell ref="F376:G376"/>
    <mergeCell ref="H376:I376"/>
    <mergeCell ref="J376:K376"/>
    <mergeCell ref="F377:G377"/>
    <mergeCell ref="H377:I377"/>
    <mergeCell ref="J377:K377"/>
    <mergeCell ref="J382:K382"/>
    <mergeCell ref="F383:G383"/>
    <mergeCell ref="F378:G378"/>
    <mergeCell ref="H378:I378"/>
    <mergeCell ref="J378:K378"/>
    <mergeCell ref="F379:G379"/>
    <mergeCell ref="H379:I379"/>
    <mergeCell ref="J379:K379"/>
    <mergeCell ref="J383:K383"/>
    <mergeCell ref="A393:K393"/>
    <mergeCell ref="J389:K389"/>
    <mergeCell ref="A395:C395"/>
    <mergeCell ref="D395:G395"/>
    <mergeCell ref="H395:K395"/>
    <mergeCell ref="J386:K386"/>
    <mergeCell ref="F388:G388"/>
    <mergeCell ref="J388:K388"/>
    <mergeCell ref="F389:G389"/>
    <mergeCell ref="H389:I389"/>
    <mergeCell ref="F390:G390"/>
    <mergeCell ref="H390:I390"/>
    <mergeCell ref="J390:K390"/>
    <mergeCell ref="F386:G386"/>
    <mergeCell ref="H386:I386"/>
    <mergeCell ref="A392:K392"/>
    <mergeCell ref="H388:I388"/>
    <mergeCell ref="J189:K189"/>
    <mergeCell ref="H380:I380"/>
    <mergeCell ref="F387:G387"/>
    <mergeCell ref="H387:I387"/>
    <mergeCell ref="F385:G385"/>
    <mergeCell ref="H385:I385"/>
    <mergeCell ref="J385:K385"/>
    <mergeCell ref="J381:K381"/>
    <mergeCell ref="F382:G382"/>
    <mergeCell ref="H382:I382"/>
    <mergeCell ref="B241:E241"/>
    <mergeCell ref="F384:G384"/>
    <mergeCell ref="H384:I384"/>
    <mergeCell ref="H383:I383"/>
    <mergeCell ref="F381:G381"/>
    <mergeCell ref="H381:I381"/>
    <mergeCell ref="F374:G374"/>
    <mergeCell ref="H374:I374"/>
    <mergeCell ref="F380:G380"/>
    <mergeCell ref="F370:G370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J18" sqref="J18"/>
    </sheetView>
  </sheetViews>
  <sheetFormatPr defaultColWidth="9.33203125" defaultRowHeight="21"/>
  <cols>
    <col min="7" max="7" width="7.83203125" style="0" customWidth="1"/>
    <col min="8" max="8" width="15.16015625" style="0" customWidth="1"/>
    <col min="9" max="9" width="4" style="0" customWidth="1"/>
    <col min="10" max="10" width="16" style="0" customWidth="1"/>
    <col min="11" max="11" width="4.16015625" style="0" customWidth="1"/>
    <col min="13" max="13" width="10.83203125" style="0" customWidth="1"/>
    <col min="14" max="14" width="15.16015625" style="0" customWidth="1"/>
    <col min="17" max="17" width="12" style="0" customWidth="1"/>
  </cols>
  <sheetData>
    <row r="1" spans="1:11" ht="23.25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23.25">
      <c r="A2" s="307" t="s">
        <v>435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23.25">
      <c r="A3" s="307" t="s">
        <v>660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4" ht="23.25">
      <c r="A4" s="12" t="s">
        <v>436</v>
      </c>
      <c r="B4" s="11"/>
      <c r="C4" s="11"/>
      <c r="D4" s="11"/>
      <c r="E4" s="11"/>
      <c r="F4" s="11"/>
      <c r="G4" s="11"/>
      <c r="H4" s="13" t="s">
        <v>34</v>
      </c>
      <c r="I4" s="307" t="s">
        <v>442</v>
      </c>
      <c r="J4" s="307"/>
      <c r="K4" s="307"/>
      <c r="N4">
        <f>85744+470+129558.85+57540+270+10032594.6+280.85</f>
        <v>10306458.299999999</v>
      </c>
    </row>
    <row r="5" spans="1:14" ht="23.25">
      <c r="A5" s="11"/>
      <c r="B5" s="11" t="s">
        <v>437</v>
      </c>
      <c r="C5" s="11"/>
      <c r="D5" s="11"/>
      <c r="E5" s="11"/>
      <c r="F5" s="11"/>
      <c r="G5" s="11"/>
      <c r="H5" s="234">
        <f>1338162.24-H7+0</f>
        <v>1285462.24</v>
      </c>
      <c r="I5" s="11"/>
      <c r="J5" s="234">
        <f>9020996.06+H5+0</f>
        <v>10306458.3</v>
      </c>
      <c r="K5" s="11"/>
      <c r="M5">
        <v>1729789.23</v>
      </c>
      <c r="N5" s="215">
        <f>10306458.3+J8</f>
        <v>14488568.3</v>
      </c>
    </row>
    <row r="6" spans="1:13" ht="23.25">
      <c r="A6" s="11"/>
      <c r="B6" s="11" t="s">
        <v>438</v>
      </c>
      <c r="C6" s="11"/>
      <c r="D6" s="11"/>
      <c r="E6" s="11"/>
      <c r="F6" s="11"/>
      <c r="G6" s="11"/>
      <c r="H6" s="234">
        <f>SUM(รายละเอียดประกอบงบ!B17)</f>
        <v>6087.57</v>
      </c>
      <c r="I6" s="11"/>
      <c r="J6" s="234">
        <f>SUM(157605.26+H6-280.85)</f>
        <v>163411.98</v>
      </c>
      <c r="K6" s="11"/>
      <c r="M6">
        <v>41700</v>
      </c>
    </row>
    <row r="7" spans="1:15" ht="23.25">
      <c r="A7" s="11"/>
      <c r="B7" s="11" t="s">
        <v>439</v>
      </c>
      <c r="C7" s="11"/>
      <c r="D7" s="11"/>
      <c r="E7" s="11"/>
      <c r="F7" s="11"/>
      <c r="G7" s="11"/>
      <c r="H7" s="234">
        <v>52700</v>
      </c>
      <c r="I7" s="11"/>
      <c r="J7" s="234">
        <f>SUM(5564680+H7)</f>
        <v>5617380</v>
      </c>
      <c r="K7" s="11"/>
      <c r="L7">
        <v>1917600</v>
      </c>
      <c r="M7">
        <f>1350+316.75</f>
        <v>1666.75</v>
      </c>
      <c r="O7">
        <f>1390+1000+1.37+800</f>
        <v>3191.37</v>
      </c>
    </row>
    <row r="8" spans="1:13" ht="23.25">
      <c r="A8" s="11"/>
      <c r="B8" s="11" t="s">
        <v>440</v>
      </c>
      <c r="C8" s="11"/>
      <c r="D8" s="11"/>
      <c r="E8" s="11"/>
      <c r="F8" s="11"/>
      <c r="G8" s="11"/>
      <c r="H8" s="234">
        <v>0</v>
      </c>
      <c r="I8" s="11"/>
      <c r="J8" s="234">
        <f>4182110+H8</f>
        <v>4182110</v>
      </c>
      <c r="K8" s="11"/>
      <c r="L8">
        <v>144000</v>
      </c>
      <c r="M8">
        <f>SUM(M5:M7)</f>
        <v>1773155.98</v>
      </c>
    </row>
    <row r="9" spans="1:15" ht="23.25">
      <c r="A9" s="11"/>
      <c r="B9" s="11" t="s">
        <v>441</v>
      </c>
      <c r="C9" s="11"/>
      <c r="D9" s="11"/>
      <c r="E9" s="11"/>
      <c r="F9" s="11"/>
      <c r="G9" s="11"/>
      <c r="H9" s="234">
        <v>0</v>
      </c>
      <c r="I9" s="11"/>
      <c r="J9" s="234">
        <f>SUM(H9:I9)</f>
        <v>0</v>
      </c>
      <c r="K9" s="11"/>
      <c r="L9">
        <f>SUM(L7:L8)</f>
        <v>2061600</v>
      </c>
      <c r="O9">
        <f>1148500+4468880</f>
        <v>5617380</v>
      </c>
    </row>
    <row r="10" spans="1:16" ht="23.25">
      <c r="A10" s="11"/>
      <c r="B10" s="11" t="s">
        <v>449</v>
      </c>
      <c r="C10" s="11"/>
      <c r="D10" s="11"/>
      <c r="E10" s="11"/>
      <c r="F10" s="11"/>
      <c r="G10" s="11"/>
      <c r="H10" s="234">
        <v>0</v>
      </c>
      <c r="I10" s="11"/>
      <c r="J10" s="234">
        <f>2691.37+500+H10</f>
        <v>3191.37</v>
      </c>
      <c r="K10" s="11"/>
      <c r="P10">
        <f>1390+1000+1.37+800</f>
        <v>3191.37</v>
      </c>
    </row>
    <row r="11" spans="1:14" ht="23.25">
      <c r="A11" s="11"/>
      <c r="B11" s="11"/>
      <c r="C11" s="11"/>
      <c r="D11" s="11"/>
      <c r="E11" s="13" t="s">
        <v>68</v>
      </c>
      <c r="F11" s="11"/>
      <c r="G11" s="11"/>
      <c r="H11" s="235">
        <f>SUM(H5:H10)</f>
        <v>1344249.81</v>
      </c>
      <c r="I11" s="12"/>
      <c r="J11" s="235">
        <f>SUM(J5:J10)</f>
        <v>20272551.650000002</v>
      </c>
      <c r="K11" s="11"/>
      <c r="M11">
        <v>20272332.5</v>
      </c>
      <c r="N11">
        <v>17155145.86</v>
      </c>
    </row>
    <row r="12" spans="1:14" ht="23.25">
      <c r="A12" s="11"/>
      <c r="B12" s="11"/>
      <c r="C12" s="11"/>
      <c r="D12" s="11"/>
      <c r="E12" s="11"/>
      <c r="F12" s="11"/>
      <c r="G12" s="11"/>
      <c r="H12" s="234"/>
      <c r="I12" s="11"/>
      <c r="J12" s="234"/>
      <c r="K12" s="11"/>
      <c r="M12">
        <v>20272551.65</v>
      </c>
      <c r="N12">
        <v>17154926.71</v>
      </c>
    </row>
    <row r="13" spans="1:17" ht="23.25">
      <c r="A13" s="12" t="s">
        <v>46</v>
      </c>
      <c r="B13" s="11"/>
      <c r="C13" s="11"/>
      <c r="D13" s="11"/>
      <c r="E13" s="11"/>
      <c r="F13" s="11"/>
      <c r="G13" s="11"/>
      <c r="H13" s="234"/>
      <c r="I13" s="11"/>
      <c r="J13" s="234"/>
      <c r="K13" s="11"/>
      <c r="M13">
        <f>SUM(M12-M11)</f>
        <v>219.14999999850988</v>
      </c>
      <c r="N13">
        <f>SUM(N11-N12)</f>
        <v>219.14999999850988</v>
      </c>
      <c r="Q13">
        <v>105814</v>
      </c>
    </row>
    <row r="14" spans="1:17" ht="23.25">
      <c r="A14" s="11"/>
      <c r="B14" s="11" t="s">
        <v>443</v>
      </c>
      <c r="C14" s="11"/>
      <c r="D14" s="11"/>
      <c r="E14" s="11"/>
      <c r="F14" s="11"/>
      <c r="G14" s="11"/>
      <c r="H14" s="234">
        <f>1480947.22-H15-H17-H19-H16</f>
        <v>724331.47</v>
      </c>
      <c r="I14" s="11"/>
      <c r="J14" s="234">
        <f>7738871.58+H14</f>
        <v>8463203.05</v>
      </c>
      <c r="K14" s="11"/>
      <c r="Q14">
        <v>170590</v>
      </c>
    </row>
    <row r="15" spans="1:17" ht="23.25">
      <c r="A15" s="11"/>
      <c r="B15" s="11" t="s">
        <v>444</v>
      </c>
      <c r="C15" s="11"/>
      <c r="D15" s="11"/>
      <c r="E15" s="11"/>
      <c r="F15" s="11"/>
      <c r="G15" s="11"/>
      <c r="H15" s="234">
        <f>SUM(รายละเอียดประกอบงบ!C17)</f>
        <v>1666.75</v>
      </c>
      <c r="I15" s="11"/>
      <c r="J15" s="234">
        <f>SUM(178367.08+H15)</f>
        <v>180033.83</v>
      </c>
      <c r="K15" s="11"/>
      <c r="N15">
        <v>1616977.36</v>
      </c>
      <c r="Q15">
        <v>265949</v>
      </c>
    </row>
    <row r="16" spans="1:17" ht="23.25">
      <c r="A16" s="11"/>
      <c r="B16" s="11" t="s">
        <v>445</v>
      </c>
      <c r="C16" s="11"/>
      <c r="D16" s="11"/>
      <c r="E16" s="11"/>
      <c r="F16" s="11"/>
      <c r="G16" s="11"/>
      <c r="H16" s="234">
        <v>333999</v>
      </c>
      <c r="I16" s="11"/>
      <c r="J16" s="234">
        <f>480000+H16</f>
        <v>813999</v>
      </c>
      <c r="K16" s="11"/>
      <c r="N16">
        <v>342500</v>
      </c>
      <c r="Q16">
        <v>10850</v>
      </c>
    </row>
    <row r="17" spans="1:17" ht="23.25">
      <c r="A17" s="11"/>
      <c r="B17" s="11" t="s">
        <v>446</v>
      </c>
      <c r="C17" s="11"/>
      <c r="D17" s="11"/>
      <c r="E17" s="11"/>
      <c r="F17" s="11"/>
      <c r="G17" s="11"/>
      <c r="H17" s="234">
        <f>311700+24500+52700</f>
        <v>388900</v>
      </c>
      <c r="I17" s="11"/>
      <c r="J17" s="234">
        <f>3221850+H17+500</f>
        <v>3611250</v>
      </c>
      <c r="K17" s="11"/>
      <c r="N17">
        <f>SUM(N15-N16)</f>
        <v>1274477.36</v>
      </c>
      <c r="Q17">
        <v>104145</v>
      </c>
    </row>
    <row r="18" spans="1:17" ht="23.25">
      <c r="A18" s="11"/>
      <c r="B18" s="11" t="s">
        <v>447</v>
      </c>
      <c r="C18" s="11"/>
      <c r="D18" s="11"/>
      <c r="E18" s="11"/>
      <c r="F18" s="11"/>
      <c r="G18" s="11"/>
      <c r="H18" s="234"/>
      <c r="I18" s="11"/>
      <c r="J18" s="234"/>
      <c r="K18" s="11"/>
      <c r="Q18">
        <v>490187.1</v>
      </c>
    </row>
    <row r="19" spans="1:17" ht="23.25">
      <c r="A19" s="11"/>
      <c r="B19" s="11" t="s">
        <v>451</v>
      </c>
      <c r="C19" s="11"/>
      <c r="D19" s="11"/>
      <c r="E19" s="11"/>
      <c r="F19" s="11"/>
      <c r="G19" s="11"/>
      <c r="H19" s="234">
        <f>7600+24450</f>
        <v>32050</v>
      </c>
      <c r="I19" s="11"/>
      <c r="J19" s="234">
        <f>SUM(2056538.75+H19)</f>
        <v>2088588.75</v>
      </c>
      <c r="K19" s="11"/>
      <c r="L19">
        <v>5900</v>
      </c>
      <c r="M19">
        <v>367960</v>
      </c>
      <c r="N19">
        <v>0</v>
      </c>
      <c r="O19">
        <f>SUM(L19:N19)</f>
        <v>373860</v>
      </c>
      <c r="Q19">
        <v>13926.76</v>
      </c>
    </row>
    <row r="20" spans="1:17" ht="23.25">
      <c r="A20" s="11"/>
      <c r="B20" s="11"/>
      <c r="C20" s="11"/>
      <c r="D20" s="11"/>
      <c r="E20" s="13" t="s">
        <v>68</v>
      </c>
      <c r="F20" s="11"/>
      <c r="G20" s="11"/>
      <c r="H20" s="235">
        <f>SUM(H14:H19)</f>
        <v>1480947.22</v>
      </c>
      <c r="I20" s="12"/>
      <c r="J20" s="235">
        <f>SUM(J14:J19)</f>
        <v>15157074.63</v>
      </c>
      <c r="K20" s="11"/>
      <c r="N20">
        <v>12341154.13</v>
      </c>
      <c r="Q20">
        <v>84215.5</v>
      </c>
    </row>
    <row r="21" spans="1:17" ht="23.25">
      <c r="A21" s="11"/>
      <c r="B21" s="11" t="s">
        <v>448</v>
      </c>
      <c r="C21" s="11"/>
      <c r="D21" s="11"/>
      <c r="E21" s="11"/>
      <c r="F21" s="11"/>
      <c r="G21" s="11"/>
      <c r="H21" s="235">
        <f>SUM(H11-H20)</f>
        <v>-136697.40999999992</v>
      </c>
      <c r="I21" s="12"/>
      <c r="J21" s="235">
        <f>SUM(J11-J20)</f>
        <v>5115477.020000001</v>
      </c>
      <c r="K21" s="11"/>
      <c r="N21">
        <v>12340654.13</v>
      </c>
      <c r="Q21">
        <v>28800</v>
      </c>
    </row>
    <row r="22" spans="1:17" ht="23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N22">
        <f>SUM(N20-N21)</f>
        <v>500</v>
      </c>
      <c r="Q22">
        <f>SUM(Q13:Q21)</f>
        <v>1274477.36</v>
      </c>
    </row>
    <row r="23" spans="1:11" ht="23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23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3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3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23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3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23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23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3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23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23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23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23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3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sheetProtection/>
  <mergeCells count="4">
    <mergeCell ref="A1:K1"/>
    <mergeCell ref="A2:K2"/>
    <mergeCell ref="A3:K3"/>
    <mergeCell ref="I4:K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K13" sqref="K13"/>
    </sheetView>
  </sheetViews>
  <sheetFormatPr defaultColWidth="9.33203125" defaultRowHeight="21"/>
  <cols>
    <col min="1" max="1" width="5.5" style="0" customWidth="1"/>
    <col min="2" max="2" width="7.83203125" style="0" customWidth="1"/>
    <col min="4" max="4" width="8" style="0" customWidth="1"/>
    <col min="5" max="5" width="7.5" style="0" customWidth="1"/>
    <col min="6" max="6" width="13.33203125" style="0" customWidth="1"/>
    <col min="7" max="7" width="16.66015625" style="0" customWidth="1"/>
    <col min="8" max="8" width="7.5" style="0" customWidth="1"/>
    <col min="9" max="9" width="12.66015625" style="0" customWidth="1"/>
    <col min="10" max="10" width="13.83203125" style="0" customWidth="1"/>
    <col min="11" max="11" width="15.66015625" style="0" customWidth="1"/>
    <col min="12" max="12" width="13.83203125" style="0" customWidth="1"/>
  </cols>
  <sheetData>
    <row r="1" spans="9:11" ht="21">
      <c r="I1" s="291" t="s">
        <v>498</v>
      </c>
      <c r="J1" s="291"/>
      <c r="K1" s="7"/>
    </row>
    <row r="2" spans="1:11" ht="23.25">
      <c r="A2" s="307" t="s">
        <v>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23.25">
      <c r="A3" s="307" t="s">
        <v>452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ht="23.25">
      <c r="A4" s="307" t="s">
        <v>662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</row>
    <row r="5" spans="1:10" ht="21">
      <c r="A5" s="285"/>
      <c r="B5" s="286"/>
      <c r="C5" s="286"/>
      <c r="D5" s="286"/>
      <c r="E5" s="286"/>
      <c r="F5" s="286"/>
      <c r="G5" s="287"/>
      <c r="H5" s="232" t="s">
        <v>3</v>
      </c>
      <c r="I5" s="232" t="s">
        <v>29</v>
      </c>
      <c r="J5" s="232" t="s">
        <v>453</v>
      </c>
    </row>
    <row r="6" spans="1:10" ht="21">
      <c r="A6" s="478" t="s">
        <v>454</v>
      </c>
      <c r="B6" s="479"/>
      <c r="C6" s="479"/>
      <c r="D6" s="479"/>
      <c r="E6" s="479"/>
      <c r="F6" s="479"/>
      <c r="G6" s="480"/>
      <c r="H6" s="238"/>
      <c r="I6" s="238"/>
      <c r="J6" s="238"/>
    </row>
    <row r="7" spans="1:10" ht="21">
      <c r="A7" s="478" t="s">
        <v>455</v>
      </c>
      <c r="B7" s="479"/>
      <c r="C7" s="479"/>
      <c r="D7" s="479"/>
      <c r="E7" s="479"/>
      <c r="F7" s="479"/>
      <c r="G7" s="480"/>
      <c r="H7" s="108">
        <v>411000</v>
      </c>
      <c r="I7" s="239"/>
      <c r="J7" s="239"/>
    </row>
    <row r="8" spans="1:10" ht="21">
      <c r="A8" s="237">
        <v>1</v>
      </c>
      <c r="B8" s="366" t="s">
        <v>456</v>
      </c>
      <c r="C8" s="473"/>
      <c r="D8" s="473"/>
      <c r="E8" s="473"/>
      <c r="F8" s="473"/>
      <c r="G8" s="474"/>
      <c r="H8" s="108">
        <v>411001</v>
      </c>
      <c r="I8" s="239">
        <v>40000</v>
      </c>
      <c r="J8" s="239">
        <f>19557+26805+675</f>
        <v>47037</v>
      </c>
    </row>
    <row r="9" spans="1:10" ht="21">
      <c r="A9" s="237">
        <v>2</v>
      </c>
      <c r="B9" s="475" t="s">
        <v>457</v>
      </c>
      <c r="C9" s="476"/>
      <c r="D9" s="476"/>
      <c r="E9" s="476"/>
      <c r="F9" s="476"/>
      <c r="G9" s="477"/>
      <c r="H9" s="108">
        <v>411002</v>
      </c>
      <c r="I9" s="239">
        <v>25000</v>
      </c>
      <c r="J9" s="239">
        <f>22693.15+2133+1054+280.85+1180+68+128+1226</f>
        <v>28763</v>
      </c>
    </row>
    <row r="10" spans="1:10" ht="21">
      <c r="A10" s="237">
        <v>3</v>
      </c>
      <c r="B10" s="248" t="s">
        <v>458</v>
      </c>
      <c r="C10" s="249"/>
      <c r="D10" s="249"/>
      <c r="E10" s="249"/>
      <c r="F10" s="249"/>
      <c r="G10" s="250"/>
      <c r="H10" s="108">
        <v>411003</v>
      </c>
      <c r="I10" s="239">
        <v>4000</v>
      </c>
      <c r="J10" s="239">
        <f>1000+2638+1688+1768</f>
        <v>7094</v>
      </c>
    </row>
    <row r="11" spans="1:10" ht="21">
      <c r="A11" s="237">
        <v>4</v>
      </c>
      <c r="B11" s="248" t="s">
        <v>459</v>
      </c>
      <c r="C11" s="249"/>
      <c r="D11" s="249"/>
      <c r="E11" s="249"/>
      <c r="F11" s="249"/>
      <c r="G11" s="250"/>
      <c r="H11" s="108">
        <v>411004</v>
      </c>
      <c r="I11" s="239">
        <v>3000</v>
      </c>
      <c r="J11" s="239">
        <f>1090+470+260+290+500+240</f>
        <v>2850</v>
      </c>
    </row>
    <row r="12" spans="1:10" ht="21">
      <c r="A12" s="237">
        <v>5</v>
      </c>
      <c r="B12" s="25" t="s">
        <v>524</v>
      </c>
      <c r="C12" s="5"/>
      <c r="D12" s="249"/>
      <c r="E12" s="249"/>
      <c r="F12" s="249"/>
      <c r="G12" s="250"/>
      <c r="H12" s="108">
        <v>411005</v>
      </c>
      <c r="I12" s="239"/>
      <c r="J12" s="239"/>
    </row>
    <row r="13" spans="1:10" ht="21">
      <c r="A13" s="237">
        <v>6</v>
      </c>
      <c r="B13" s="248" t="s">
        <v>460</v>
      </c>
      <c r="C13" s="249"/>
      <c r="D13" s="249"/>
      <c r="E13" s="249"/>
      <c r="F13" s="249"/>
      <c r="G13" s="250"/>
      <c r="H13" s="108">
        <v>411006</v>
      </c>
      <c r="I13" s="239"/>
      <c r="J13" s="239"/>
    </row>
    <row r="14" spans="1:10" ht="21">
      <c r="A14" s="237">
        <v>7</v>
      </c>
      <c r="B14" s="248" t="s">
        <v>461</v>
      </c>
      <c r="C14" s="249"/>
      <c r="D14" s="249"/>
      <c r="E14" s="249"/>
      <c r="F14" s="249"/>
      <c r="G14" s="250"/>
      <c r="H14" s="108">
        <v>411007</v>
      </c>
      <c r="I14" s="239"/>
      <c r="J14" s="239"/>
    </row>
    <row r="15" spans="1:10" ht="21">
      <c r="A15" s="237">
        <v>8</v>
      </c>
      <c r="B15" s="248" t="s">
        <v>534</v>
      </c>
      <c r="C15" s="249"/>
      <c r="D15" s="249"/>
      <c r="E15" s="249"/>
      <c r="F15" s="249"/>
      <c r="G15" s="250"/>
      <c r="H15" s="108">
        <v>411008</v>
      </c>
      <c r="I15" s="241"/>
      <c r="J15" s="241"/>
    </row>
    <row r="16" spans="1:10" ht="21">
      <c r="A16" s="156"/>
      <c r="B16" s="249"/>
      <c r="C16" s="249"/>
      <c r="D16" s="249"/>
      <c r="E16" s="249"/>
      <c r="F16" s="251" t="s">
        <v>68</v>
      </c>
      <c r="G16" s="250"/>
      <c r="H16" s="108"/>
      <c r="I16" s="258">
        <f>SUM(I8:I15)</f>
        <v>72000</v>
      </c>
      <c r="J16" s="258">
        <f>SUM(J8:J15)</f>
        <v>85744</v>
      </c>
    </row>
    <row r="17" spans="1:10" ht="21">
      <c r="A17" s="252" t="s">
        <v>462</v>
      </c>
      <c r="B17" s="253"/>
      <c r="C17" s="253"/>
      <c r="D17" s="253"/>
      <c r="E17" s="249"/>
      <c r="F17" s="249"/>
      <c r="G17" s="250"/>
      <c r="H17" s="108">
        <v>412000</v>
      </c>
      <c r="I17" s="239"/>
      <c r="J17" s="239"/>
    </row>
    <row r="18" spans="1:10" ht="21">
      <c r="A18" s="237">
        <v>1</v>
      </c>
      <c r="B18" s="248" t="s">
        <v>463</v>
      </c>
      <c r="C18" s="249"/>
      <c r="D18" s="249"/>
      <c r="E18" s="249"/>
      <c r="F18" s="249"/>
      <c r="G18" s="250"/>
      <c r="H18" s="108">
        <v>412101</v>
      </c>
      <c r="I18" s="239"/>
      <c r="J18" s="239"/>
    </row>
    <row r="19" spans="1:10" ht="21">
      <c r="A19" s="237">
        <v>2</v>
      </c>
      <c r="B19" s="248" t="s">
        <v>535</v>
      </c>
      <c r="C19" s="249"/>
      <c r="D19" s="249"/>
      <c r="E19" s="249"/>
      <c r="F19" s="249"/>
      <c r="G19" s="250"/>
      <c r="H19" s="108">
        <v>412102</v>
      </c>
      <c r="I19" s="239"/>
      <c r="J19" s="239"/>
    </row>
    <row r="20" spans="1:10" ht="21">
      <c r="A20" s="237">
        <v>3</v>
      </c>
      <c r="B20" s="248" t="s">
        <v>464</v>
      </c>
      <c r="C20" s="249"/>
      <c r="D20" s="249"/>
      <c r="E20" s="249"/>
      <c r="F20" s="249"/>
      <c r="G20" s="250"/>
      <c r="H20" s="108">
        <v>412103</v>
      </c>
      <c r="I20" s="239">
        <v>200</v>
      </c>
      <c r="J20" s="239">
        <v>0</v>
      </c>
    </row>
    <row r="21" spans="1:10" ht="21">
      <c r="A21" s="237">
        <v>4</v>
      </c>
      <c r="B21" s="248" t="s">
        <v>465</v>
      </c>
      <c r="C21" s="249"/>
      <c r="D21" s="249"/>
      <c r="E21" s="249"/>
      <c r="F21" s="249"/>
      <c r="G21" s="250"/>
      <c r="H21" s="108">
        <v>412104</v>
      </c>
      <c r="I21" s="239"/>
      <c r="J21" s="239"/>
    </row>
    <row r="22" spans="1:10" ht="21">
      <c r="A22" s="237">
        <v>5</v>
      </c>
      <c r="B22" s="248" t="s">
        <v>466</v>
      </c>
      <c r="C22" s="249"/>
      <c r="D22" s="249"/>
      <c r="E22" s="249"/>
      <c r="F22" s="249"/>
      <c r="G22" s="250"/>
      <c r="H22" s="108">
        <v>412105</v>
      </c>
      <c r="I22" s="239"/>
      <c r="J22" s="239"/>
    </row>
    <row r="23" spans="1:10" ht="21">
      <c r="A23" s="237">
        <v>6</v>
      </c>
      <c r="B23" s="248" t="s">
        <v>467</v>
      </c>
      <c r="C23" s="249"/>
      <c r="D23" s="249"/>
      <c r="E23" s="249"/>
      <c r="F23" s="249"/>
      <c r="G23" s="250"/>
      <c r="H23" s="108">
        <v>412106</v>
      </c>
      <c r="I23" s="239"/>
      <c r="J23" s="239"/>
    </row>
    <row r="24" spans="1:10" ht="21">
      <c r="A24" s="237">
        <v>7</v>
      </c>
      <c r="B24" s="248" t="s">
        <v>468</v>
      </c>
      <c r="C24" s="249"/>
      <c r="D24" s="249"/>
      <c r="E24" s="249"/>
      <c r="F24" s="249"/>
      <c r="G24" s="250"/>
      <c r="H24" s="108">
        <v>412107</v>
      </c>
      <c r="I24" s="239"/>
      <c r="J24" s="239"/>
    </row>
    <row r="25" spans="1:10" ht="21">
      <c r="A25" s="237">
        <v>8</v>
      </c>
      <c r="B25" s="248" t="s">
        <v>469</v>
      </c>
      <c r="C25" s="249"/>
      <c r="D25" s="249"/>
      <c r="E25" s="249"/>
      <c r="F25" s="249"/>
      <c r="G25" s="250"/>
      <c r="H25" s="108">
        <v>412108</v>
      </c>
      <c r="I25" s="239"/>
      <c r="J25" s="239"/>
    </row>
    <row r="26" spans="1:10" ht="21">
      <c r="A26" s="237">
        <v>9</v>
      </c>
      <c r="B26" s="248" t="s">
        <v>470</v>
      </c>
      <c r="C26" s="249"/>
      <c r="D26" s="249"/>
      <c r="E26" s="249"/>
      <c r="F26" s="249"/>
      <c r="G26" s="250"/>
      <c r="H26" s="108">
        <v>412109</v>
      </c>
      <c r="I26" s="239"/>
      <c r="J26" s="239"/>
    </row>
    <row r="27" spans="1:10" ht="21">
      <c r="A27" s="237"/>
      <c r="B27" s="248" t="s">
        <v>471</v>
      </c>
      <c r="C27" s="249"/>
      <c r="D27" s="249"/>
      <c r="E27" s="249"/>
      <c r="F27" s="249"/>
      <c r="G27" s="250"/>
      <c r="H27" s="108"/>
      <c r="I27" s="239"/>
      <c r="J27" s="239"/>
    </row>
    <row r="28" spans="1:10" ht="21">
      <c r="A28" s="237">
        <v>10</v>
      </c>
      <c r="B28" s="248" t="s">
        <v>472</v>
      </c>
      <c r="C28" s="249"/>
      <c r="D28" s="249"/>
      <c r="E28" s="249"/>
      <c r="F28" s="249"/>
      <c r="G28" s="250"/>
      <c r="H28" s="108">
        <v>412110</v>
      </c>
      <c r="I28" s="239"/>
      <c r="J28" s="239"/>
    </row>
    <row r="29" spans="1:10" ht="21">
      <c r="A29" s="237">
        <v>11</v>
      </c>
      <c r="B29" s="248" t="s">
        <v>473</v>
      </c>
      <c r="C29" s="249"/>
      <c r="D29" s="249"/>
      <c r="E29" s="249"/>
      <c r="F29" s="249"/>
      <c r="G29" s="250"/>
      <c r="H29" s="108">
        <v>412111</v>
      </c>
      <c r="I29" s="239">
        <v>300</v>
      </c>
      <c r="J29" s="239">
        <f>80+40+20+10+10+10</f>
        <v>170</v>
      </c>
    </row>
    <row r="30" spans="1:10" ht="21">
      <c r="A30" s="237"/>
      <c r="B30" s="248" t="s">
        <v>474</v>
      </c>
      <c r="C30" s="249"/>
      <c r="D30" s="249"/>
      <c r="E30" s="249"/>
      <c r="F30" s="249"/>
      <c r="G30" s="250"/>
      <c r="H30" s="108"/>
      <c r="I30" s="239"/>
      <c r="J30" s="239"/>
    </row>
    <row r="31" spans="1:10" ht="21">
      <c r="A31" s="237">
        <v>12</v>
      </c>
      <c r="B31" s="248" t="s">
        <v>475</v>
      </c>
      <c r="C31" s="249"/>
      <c r="D31" s="249"/>
      <c r="E31" s="249"/>
      <c r="F31" s="249"/>
      <c r="G31" s="250"/>
      <c r="H31" s="108">
        <v>412112</v>
      </c>
      <c r="I31" s="239"/>
      <c r="J31" s="239"/>
    </row>
    <row r="32" spans="1:10" ht="21">
      <c r="A32" s="237">
        <v>13</v>
      </c>
      <c r="B32" s="248" t="s">
        <v>476</v>
      </c>
      <c r="C32" s="249"/>
      <c r="D32" s="249"/>
      <c r="E32" s="249"/>
      <c r="F32" s="249"/>
      <c r="G32" s="250"/>
      <c r="H32" s="108">
        <v>412113</v>
      </c>
      <c r="I32" s="239"/>
      <c r="J32" s="239"/>
    </row>
    <row r="33" spans="1:10" ht="21">
      <c r="A33" s="237">
        <v>14</v>
      </c>
      <c r="B33" s="248" t="s">
        <v>536</v>
      </c>
      <c r="C33" s="249"/>
      <c r="D33" s="249"/>
      <c r="E33" s="249"/>
      <c r="F33" s="249"/>
      <c r="G33" s="250"/>
      <c r="H33" s="108">
        <v>412114</v>
      </c>
      <c r="I33" s="239"/>
      <c r="J33" s="239"/>
    </row>
    <row r="34" spans="1:10" ht="21">
      <c r="A34" s="237">
        <v>15</v>
      </c>
      <c r="B34" s="248" t="s">
        <v>477</v>
      </c>
      <c r="C34" s="249"/>
      <c r="D34" s="249"/>
      <c r="E34" s="249"/>
      <c r="F34" s="249"/>
      <c r="G34" s="250"/>
      <c r="H34" s="108">
        <v>412115</v>
      </c>
      <c r="I34" s="239"/>
      <c r="J34" s="239"/>
    </row>
    <row r="35" spans="1:10" ht="21">
      <c r="A35" s="237">
        <v>16</v>
      </c>
      <c r="B35" s="248" t="s">
        <v>537</v>
      </c>
      <c r="C35" s="249"/>
      <c r="D35" s="249"/>
      <c r="E35" s="249"/>
      <c r="F35" s="249"/>
      <c r="G35" s="250"/>
      <c r="H35" s="108">
        <v>412116</v>
      </c>
      <c r="I35" s="239"/>
      <c r="J35" s="239"/>
    </row>
    <row r="36" spans="1:10" ht="21">
      <c r="A36" s="259">
        <v>17</v>
      </c>
      <c r="B36" s="131" t="s">
        <v>538</v>
      </c>
      <c r="C36" s="260"/>
      <c r="D36" s="260"/>
      <c r="E36" s="260"/>
      <c r="F36" s="260"/>
      <c r="G36" s="261"/>
      <c r="H36" s="262">
        <v>412117</v>
      </c>
      <c r="I36" s="241"/>
      <c r="J36" s="241"/>
    </row>
    <row r="37" spans="1:10" ht="21">
      <c r="A37" s="285"/>
      <c r="B37" s="286"/>
      <c r="C37" s="286"/>
      <c r="D37" s="286"/>
      <c r="E37" s="286"/>
      <c r="F37" s="286"/>
      <c r="G37" s="287"/>
      <c r="H37" s="243"/>
      <c r="I37" s="244" t="s">
        <v>29</v>
      </c>
      <c r="J37" s="204" t="s">
        <v>453</v>
      </c>
    </row>
    <row r="38" spans="1:10" ht="21">
      <c r="A38" s="245">
        <v>18</v>
      </c>
      <c r="B38" s="233" t="s">
        <v>539</v>
      </c>
      <c r="C38" s="246"/>
      <c r="D38" s="246"/>
      <c r="E38" s="246"/>
      <c r="F38" s="246"/>
      <c r="G38" s="247"/>
      <c r="H38" s="24">
        <v>412118</v>
      </c>
      <c r="I38" s="240"/>
      <c r="J38" s="263"/>
    </row>
    <row r="39" spans="1:10" ht="21">
      <c r="A39" s="237">
        <v>19</v>
      </c>
      <c r="B39" s="233" t="s">
        <v>540</v>
      </c>
      <c r="C39" s="246"/>
      <c r="D39" s="246"/>
      <c r="E39" s="246"/>
      <c r="F39" s="246"/>
      <c r="G39" s="247"/>
      <c r="H39" s="24">
        <v>412119</v>
      </c>
      <c r="I39" s="240"/>
      <c r="J39" s="263"/>
    </row>
    <row r="40" spans="1:10" ht="21">
      <c r="A40" s="237">
        <v>20</v>
      </c>
      <c r="B40" s="233" t="s">
        <v>541</v>
      </c>
      <c r="C40" s="246"/>
      <c r="D40" s="246"/>
      <c r="E40" s="246"/>
      <c r="F40" s="246"/>
      <c r="G40" s="247"/>
      <c r="H40" s="24">
        <v>412120</v>
      </c>
      <c r="I40" s="240"/>
      <c r="J40" s="263"/>
    </row>
    <row r="41" spans="1:10" ht="21">
      <c r="A41" s="237">
        <v>21</v>
      </c>
      <c r="B41" s="233" t="s">
        <v>542</v>
      </c>
      <c r="C41" s="246"/>
      <c r="D41" s="246"/>
      <c r="E41" s="246"/>
      <c r="F41" s="246"/>
      <c r="G41" s="247"/>
      <c r="H41" s="24">
        <v>412121</v>
      </c>
      <c r="I41" s="240"/>
      <c r="J41" s="263"/>
    </row>
    <row r="42" spans="1:10" ht="21">
      <c r="A42" s="237">
        <v>22</v>
      </c>
      <c r="B42" s="233" t="s">
        <v>543</v>
      </c>
      <c r="C42" s="246"/>
      <c r="D42" s="246"/>
      <c r="E42" s="246"/>
      <c r="F42" s="246"/>
      <c r="G42" s="247"/>
      <c r="H42" s="24">
        <v>412122</v>
      </c>
      <c r="I42" s="240"/>
      <c r="J42" s="263"/>
    </row>
    <row r="43" spans="1:10" ht="21">
      <c r="A43" s="237">
        <v>23</v>
      </c>
      <c r="B43" s="233" t="s">
        <v>544</v>
      </c>
      <c r="C43" s="246"/>
      <c r="D43" s="246"/>
      <c r="E43" s="246"/>
      <c r="F43" s="246"/>
      <c r="G43" s="247"/>
      <c r="H43" s="24">
        <v>412123</v>
      </c>
      <c r="I43" s="240"/>
      <c r="J43" s="263"/>
    </row>
    <row r="44" spans="1:10" ht="21">
      <c r="A44" s="237">
        <v>24</v>
      </c>
      <c r="B44" s="233" t="s">
        <v>545</v>
      </c>
      <c r="C44" s="246"/>
      <c r="D44" s="246"/>
      <c r="E44" s="246"/>
      <c r="F44" s="246"/>
      <c r="G44" s="247"/>
      <c r="H44" s="24">
        <v>412124</v>
      </c>
      <c r="I44" s="240"/>
      <c r="J44" s="263"/>
    </row>
    <row r="45" spans="1:10" ht="21">
      <c r="A45" s="237">
        <v>25</v>
      </c>
      <c r="B45" s="233" t="s">
        <v>478</v>
      </c>
      <c r="C45" s="246"/>
      <c r="D45" s="246"/>
      <c r="E45" s="246"/>
      <c r="F45" s="246"/>
      <c r="G45" s="247"/>
      <c r="H45" s="24">
        <v>412125</v>
      </c>
      <c r="I45" s="240"/>
      <c r="J45" s="263"/>
    </row>
    <row r="46" spans="1:10" ht="21">
      <c r="A46" s="237">
        <v>26</v>
      </c>
      <c r="B46" s="233" t="s">
        <v>546</v>
      </c>
      <c r="C46" s="246"/>
      <c r="D46" s="246"/>
      <c r="E46" s="246"/>
      <c r="F46" s="246"/>
      <c r="G46" s="247"/>
      <c r="H46" s="24">
        <v>412126</v>
      </c>
      <c r="I46" s="240"/>
      <c r="J46" s="263"/>
    </row>
    <row r="47" spans="1:10" ht="21">
      <c r="A47" s="237">
        <v>27</v>
      </c>
      <c r="B47" s="233" t="s">
        <v>547</v>
      </c>
      <c r="C47" s="246"/>
      <c r="D47" s="246"/>
      <c r="E47" s="246"/>
      <c r="F47" s="246"/>
      <c r="G47" s="247"/>
      <c r="H47" s="24">
        <v>412127</v>
      </c>
      <c r="I47" s="240"/>
      <c r="J47" s="263"/>
    </row>
    <row r="48" spans="1:10" ht="21">
      <c r="A48" s="237">
        <v>28</v>
      </c>
      <c r="B48" s="233" t="s">
        <v>548</v>
      </c>
      <c r="C48" s="246"/>
      <c r="D48" s="246"/>
      <c r="E48" s="246"/>
      <c r="F48" s="246"/>
      <c r="G48" s="247"/>
      <c r="H48" s="24">
        <v>412128</v>
      </c>
      <c r="I48" s="240">
        <v>200</v>
      </c>
      <c r="J48" s="263">
        <f>150+50+50+50</f>
        <v>300</v>
      </c>
    </row>
    <row r="49" spans="1:10" ht="21">
      <c r="A49" s="237">
        <v>29</v>
      </c>
      <c r="B49" s="233" t="s">
        <v>549</v>
      </c>
      <c r="C49" s="246"/>
      <c r="D49" s="246"/>
      <c r="E49" s="246"/>
      <c r="F49" s="246"/>
      <c r="G49" s="247"/>
      <c r="H49" s="24">
        <v>412199</v>
      </c>
      <c r="I49" s="240"/>
      <c r="J49" s="263"/>
    </row>
    <row r="50" spans="1:10" ht="21">
      <c r="A50" s="237">
        <v>30</v>
      </c>
      <c r="B50" s="233" t="s">
        <v>479</v>
      </c>
      <c r="C50" s="246"/>
      <c r="D50" s="246"/>
      <c r="E50" s="246"/>
      <c r="F50" s="246"/>
      <c r="G50" s="247"/>
      <c r="H50" s="24">
        <v>412201</v>
      </c>
      <c r="I50" s="240"/>
      <c r="J50" s="263"/>
    </row>
    <row r="51" spans="1:10" ht="21">
      <c r="A51" s="237">
        <v>31</v>
      </c>
      <c r="B51" s="248" t="s">
        <v>480</v>
      </c>
      <c r="C51" s="249"/>
      <c r="D51" s="249"/>
      <c r="E51" s="249"/>
      <c r="F51" s="249"/>
      <c r="G51" s="250"/>
      <c r="H51" s="24">
        <v>412202</v>
      </c>
      <c r="I51" s="239"/>
      <c r="J51" s="239"/>
    </row>
    <row r="52" spans="1:10" ht="21">
      <c r="A52" s="237">
        <v>32</v>
      </c>
      <c r="B52" s="248" t="s">
        <v>481</v>
      </c>
      <c r="C52" s="249"/>
      <c r="D52" s="249"/>
      <c r="E52" s="249"/>
      <c r="F52" s="249"/>
      <c r="G52" s="250"/>
      <c r="H52" s="24">
        <v>412203</v>
      </c>
      <c r="I52" s="239"/>
      <c r="J52" s="239"/>
    </row>
    <row r="53" spans="1:10" ht="21">
      <c r="A53" s="237">
        <v>33</v>
      </c>
      <c r="B53" s="248" t="s">
        <v>550</v>
      </c>
      <c r="C53" s="249"/>
      <c r="D53" s="249"/>
      <c r="E53" s="249"/>
      <c r="F53" s="249"/>
      <c r="G53" s="250"/>
      <c r="H53" s="24">
        <v>412204</v>
      </c>
      <c r="I53" s="239"/>
      <c r="J53" s="239"/>
    </row>
    <row r="54" spans="1:10" ht="21">
      <c r="A54" s="237">
        <v>34</v>
      </c>
      <c r="B54" s="248" t="s">
        <v>551</v>
      </c>
      <c r="C54" s="249"/>
      <c r="D54" s="249"/>
      <c r="E54" s="249"/>
      <c r="F54" s="249"/>
      <c r="G54" s="250"/>
      <c r="H54" s="24">
        <v>412205</v>
      </c>
      <c r="I54" s="239"/>
      <c r="J54" s="239"/>
    </row>
    <row r="55" spans="1:10" ht="21">
      <c r="A55" s="237">
        <v>35</v>
      </c>
      <c r="B55" s="248" t="s">
        <v>552</v>
      </c>
      <c r="C55" s="249"/>
      <c r="D55" s="249"/>
      <c r="E55" s="249"/>
      <c r="F55" s="249"/>
      <c r="G55" s="250"/>
      <c r="H55" s="24">
        <v>412206</v>
      </c>
      <c r="I55" s="239"/>
      <c r="J55" s="239"/>
    </row>
    <row r="56" spans="1:10" ht="21">
      <c r="A56" s="237">
        <v>36</v>
      </c>
      <c r="B56" s="248" t="s">
        <v>553</v>
      </c>
      <c r="C56" s="249"/>
      <c r="D56" s="249"/>
      <c r="E56" s="249"/>
      <c r="F56" s="249"/>
      <c r="G56" s="250"/>
      <c r="H56" s="24">
        <v>412207</v>
      </c>
      <c r="I56" s="239"/>
      <c r="J56" s="239"/>
    </row>
    <row r="57" spans="1:10" ht="21">
      <c r="A57" s="237">
        <v>37</v>
      </c>
      <c r="B57" s="248" t="s">
        <v>554</v>
      </c>
      <c r="C57" s="249"/>
      <c r="D57" s="249"/>
      <c r="E57" s="249"/>
      <c r="F57" s="249"/>
      <c r="G57" s="250"/>
      <c r="H57" s="24">
        <v>412208</v>
      </c>
      <c r="I57" s="239"/>
      <c r="J57" s="239"/>
    </row>
    <row r="58" spans="1:10" ht="21">
      <c r="A58" s="237">
        <v>38</v>
      </c>
      <c r="B58" s="248" t="s">
        <v>555</v>
      </c>
      <c r="C58" s="249"/>
      <c r="D58" s="249"/>
      <c r="E58" s="249"/>
      <c r="F58" s="249"/>
      <c r="G58" s="250"/>
      <c r="H58" s="24">
        <v>412209</v>
      </c>
      <c r="I58" s="239"/>
      <c r="J58" s="239"/>
    </row>
    <row r="59" spans="1:10" ht="21">
      <c r="A59" s="237">
        <v>39</v>
      </c>
      <c r="B59" s="248" t="s">
        <v>482</v>
      </c>
      <c r="C59" s="249"/>
      <c r="D59" s="249"/>
      <c r="E59" s="249"/>
      <c r="F59" s="249"/>
      <c r="G59" s="250"/>
      <c r="H59" s="24">
        <v>412210</v>
      </c>
      <c r="I59" s="239">
        <v>10000</v>
      </c>
      <c r="J59" s="239"/>
    </row>
    <row r="60" spans="1:10" ht="21">
      <c r="A60" s="237">
        <v>40</v>
      </c>
      <c r="B60" s="248" t="s">
        <v>556</v>
      </c>
      <c r="C60" s="249"/>
      <c r="D60" s="249"/>
      <c r="E60" s="249"/>
      <c r="F60" s="249"/>
      <c r="G60" s="250"/>
      <c r="H60" s="24">
        <v>412211</v>
      </c>
      <c r="I60" s="239"/>
      <c r="J60" s="239"/>
    </row>
    <row r="61" spans="1:10" ht="21">
      <c r="A61" s="237">
        <v>41</v>
      </c>
      <c r="B61" s="248" t="s">
        <v>483</v>
      </c>
      <c r="C61" s="249"/>
      <c r="D61" s="249"/>
      <c r="E61" s="249"/>
      <c r="F61" s="249"/>
      <c r="G61" s="250"/>
      <c r="H61" s="24">
        <v>412299</v>
      </c>
      <c r="I61" s="239"/>
      <c r="J61" s="239"/>
    </row>
    <row r="62" spans="1:10" ht="21">
      <c r="A62" s="237">
        <v>42</v>
      </c>
      <c r="B62" s="248" t="s">
        <v>484</v>
      </c>
      <c r="C62" s="249"/>
      <c r="D62" s="249"/>
      <c r="E62" s="249"/>
      <c r="F62" s="249"/>
      <c r="G62" s="250"/>
      <c r="H62" s="24">
        <v>412301</v>
      </c>
      <c r="I62" s="239"/>
      <c r="J62" s="239"/>
    </row>
    <row r="63" spans="1:10" ht="21">
      <c r="A63" s="237">
        <v>43</v>
      </c>
      <c r="B63" s="248" t="s">
        <v>557</v>
      </c>
      <c r="C63" s="249"/>
      <c r="D63" s="249"/>
      <c r="E63" s="249"/>
      <c r="F63" s="249"/>
      <c r="G63" s="250"/>
      <c r="H63" s="24">
        <v>412302</v>
      </c>
      <c r="I63" s="239"/>
      <c r="J63" s="239"/>
    </row>
    <row r="64" spans="1:10" ht="21">
      <c r="A64" s="237">
        <v>44</v>
      </c>
      <c r="B64" s="248" t="s">
        <v>558</v>
      </c>
      <c r="C64" s="249"/>
      <c r="D64" s="249"/>
      <c r="E64" s="249"/>
      <c r="F64" s="249"/>
      <c r="G64" s="250"/>
      <c r="H64" s="24">
        <v>412303</v>
      </c>
      <c r="I64" s="239"/>
      <c r="J64" s="239"/>
    </row>
    <row r="65" spans="1:10" ht="21">
      <c r="A65" s="237">
        <v>45</v>
      </c>
      <c r="B65" s="248" t="s">
        <v>485</v>
      </c>
      <c r="C65" s="249"/>
      <c r="D65" s="249"/>
      <c r="E65" s="249"/>
      <c r="F65" s="249"/>
      <c r="G65" s="250"/>
      <c r="H65" s="24">
        <v>412304</v>
      </c>
      <c r="I65" s="239"/>
      <c r="J65" s="239"/>
    </row>
    <row r="66" spans="1:10" ht="21">
      <c r="A66" s="237"/>
      <c r="B66" s="248" t="s">
        <v>486</v>
      </c>
      <c r="C66" s="249"/>
      <c r="D66" s="249"/>
      <c r="E66" s="249"/>
      <c r="F66" s="249"/>
      <c r="G66" s="250"/>
      <c r="H66" s="24"/>
      <c r="I66" s="239"/>
      <c r="J66" s="239"/>
    </row>
    <row r="67" spans="1:10" ht="21">
      <c r="A67" s="237">
        <v>46</v>
      </c>
      <c r="B67" s="248" t="s">
        <v>487</v>
      </c>
      <c r="C67" s="249"/>
      <c r="D67" s="249"/>
      <c r="E67" s="249"/>
      <c r="F67" s="249"/>
      <c r="G67" s="250"/>
      <c r="H67" s="24">
        <v>412305</v>
      </c>
      <c r="I67" s="239"/>
      <c r="J67" s="239"/>
    </row>
    <row r="68" spans="1:10" ht="21">
      <c r="A68" s="237">
        <v>47</v>
      </c>
      <c r="B68" s="248" t="s">
        <v>559</v>
      </c>
      <c r="C68" s="249"/>
      <c r="D68" s="249"/>
      <c r="E68" s="249"/>
      <c r="F68" s="249"/>
      <c r="G68" s="250"/>
      <c r="H68" s="24">
        <v>412306</v>
      </c>
      <c r="I68" s="239"/>
      <c r="J68" s="239"/>
    </row>
    <row r="69" spans="1:10" ht="21">
      <c r="A69" s="237">
        <v>48</v>
      </c>
      <c r="B69" s="25" t="s">
        <v>488</v>
      </c>
      <c r="C69" s="5"/>
      <c r="D69" s="5"/>
      <c r="E69" s="5"/>
      <c r="F69" s="5"/>
      <c r="G69" s="197"/>
      <c r="H69" s="24">
        <v>412307</v>
      </c>
      <c r="I69" s="239"/>
      <c r="J69" s="239"/>
    </row>
    <row r="70" spans="1:10" ht="21">
      <c r="A70" s="237">
        <v>49</v>
      </c>
      <c r="B70" s="25" t="s">
        <v>489</v>
      </c>
      <c r="C70" s="5"/>
      <c r="D70" s="5"/>
      <c r="E70" s="5"/>
      <c r="F70" s="5"/>
      <c r="G70" s="197"/>
      <c r="H70" s="24">
        <v>412308</v>
      </c>
      <c r="I70" s="239"/>
      <c r="J70" s="239"/>
    </row>
    <row r="71" spans="1:10" ht="21">
      <c r="A71" s="237">
        <v>50</v>
      </c>
      <c r="B71" s="25" t="s">
        <v>490</v>
      </c>
      <c r="C71" s="5"/>
      <c r="D71" s="5"/>
      <c r="E71" s="5"/>
      <c r="F71" s="5"/>
      <c r="G71" s="197"/>
      <c r="H71" s="24">
        <v>412399</v>
      </c>
      <c r="I71" s="241"/>
      <c r="J71" s="241"/>
    </row>
    <row r="72" spans="1:10" ht="21">
      <c r="A72" s="256"/>
      <c r="B72" s="192"/>
      <c r="C72" s="192"/>
      <c r="D72" s="192"/>
      <c r="E72" s="192"/>
      <c r="F72" s="264" t="s">
        <v>68</v>
      </c>
      <c r="G72" s="193"/>
      <c r="H72" s="262"/>
      <c r="I72" s="258">
        <f>SUM(I59+I48+I29+I20)</f>
        <v>10700</v>
      </c>
      <c r="J72" s="258">
        <f>SUM(J18:J71)</f>
        <v>470</v>
      </c>
    </row>
    <row r="73" spans="1:10" ht="21">
      <c r="A73" s="285"/>
      <c r="B73" s="286"/>
      <c r="C73" s="286"/>
      <c r="D73" s="286"/>
      <c r="E73" s="286"/>
      <c r="F73" s="286"/>
      <c r="G73" s="287"/>
      <c r="H73" s="243" t="s">
        <v>3</v>
      </c>
      <c r="I73" s="244" t="s">
        <v>29</v>
      </c>
      <c r="J73" s="204" t="s">
        <v>453</v>
      </c>
    </row>
    <row r="74" spans="1:10" ht="21">
      <c r="A74" s="252" t="s">
        <v>491</v>
      </c>
      <c r="B74" s="254"/>
      <c r="C74" s="254"/>
      <c r="D74" s="5"/>
      <c r="E74" s="5"/>
      <c r="F74" s="5"/>
      <c r="G74" s="197"/>
      <c r="H74" s="24">
        <v>413000</v>
      </c>
      <c r="I74" s="239"/>
      <c r="J74" s="239"/>
    </row>
    <row r="75" spans="1:10" ht="21">
      <c r="A75" s="237">
        <v>1</v>
      </c>
      <c r="B75" s="25" t="s">
        <v>492</v>
      </c>
      <c r="C75" s="5"/>
      <c r="D75" s="5"/>
      <c r="E75" s="5"/>
      <c r="F75" s="5"/>
      <c r="G75" s="197"/>
      <c r="H75" s="24">
        <v>413001</v>
      </c>
      <c r="I75" s="239"/>
      <c r="J75" s="239"/>
    </row>
    <row r="76" spans="1:10" ht="21">
      <c r="A76" s="237">
        <v>2</v>
      </c>
      <c r="B76" s="25" t="s">
        <v>493</v>
      </c>
      <c r="C76" s="5"/>
      <c r="D76" s="5"/>
      <c r="E76" s="5"/>
      <c r="F76" s="5"/>
      <c r="G76" s="197"/>
      <c r="H76" s="24">
        <v>413002</v>
      </c>
      <c r="I76" s="239">
        <v>3000</v>
      </c>
      <c r="J76" s="239">
        <f>500+500+1500+1000</f>
        <v>3500</v>
      </c>
    </row>
    <row r="77" spans="1:10" ht="21">
      <c r="A77" s="237">
        <v>3</v>
      </c>
      <c r="B77" s="25" t="s">
        <v>494</v>
      </c>
      <c r="C77" s="5"/>
      <c r="D77" s="5"/>
      <c r="E77" s="5"/>
      <c r="F77" s="5"/>
      <c r="G77" s="197"/>
      <c r="H77" s="24">
        <v>413003</v>
      </c>
      <c r="I77" s="239">
        <v>63000</v>
      </c>
      <c r="J77" s="239">
        <f>55675.95+20914.55+49468.35</f>
        <v>126058.85</v>
      </c>
    </row>
    <row r="78" spans="1:10" ht="21">
      <c r="A78" s="237">
        <v>4</v>
      </c>
      <c r="B78" s="25" t="s">
        <v>495</v>
      </c>
      <c r="C78" s="5"/>
      <c r="D78" s="5"/>
      <c r="E78" s="5"/>
      <c r="F78" s="5"/>
      <c r="G78" s="197"/>
      <c r="H78" s="24">
        <v>413004</v>
      </c>
      <c r="I78" s="239"/>
      <c r="J78" s="239"/>
    </row>
    <row r="79" spans="1:10" ht="21">
      <c r="A79" s="237">
        <v>5</v>
      </c>
      <c r="B79" s="25" t="s">
        <v>496</v>
      </c>
      <c r="C79" s="5"/>
      <c r="D79" s="5"/>
      <c r="E79" s="5"/>
      <c r="F79" s="5"/>
      <c r="G79" s="197"/>
      <c r="H79" s="24">
        <v>413005</v>
      </c>
      <c r="I79" s="239"/>
      <c r="J79" s="239"/>
    </row>
    <row r="80" spans="1:10" ht="21">
      <c r="A80" s="237">
        <v>6</v>
      </c>
      <c r="B80" s="25" t="s">
        <v>560</v>
      </c>
      <c r="C80" s="5"/>
      <c r="D80" s="5"/>
      <c r="E80" s="5"/>
      <c r="F80" s="5"/>
      <c r="G80" s="197"/>
      <c r="H80" s="24">
        <v>413999</v>
      </c>
      <c r="I80" s="241"/>
      <c r="J80" s="241"/>
    </row>
    <row r="81" spans="1:10" ht="21">
      <c r="A81" s="156"/>
      <c r="B81" s="5"/>
      <c r="C81" s="5"/>
      <c r="D81" s="5"/>
      <c r="E81" s="5"/>
      <c r="F81" s="251" t="s">
        <v>68</v>
      </c>
      <c r="G81" s="197"/>
      <c r="H81" s="108"/>
      <c r="I81" s="258">
        <f>SUM(I75:I80)</f>
        <v>66000</v>
      </c>
      <c r="J81" s="258">
        <f>SUM(J75:J80)</f>
        <v>129558.85</v>
      </c>
    </row>
    <row r="82" spans="1:10" ht="21">
      <c r="A82" s="252" t="s">
        <v>497</v>
      </c>
      <c r="B82" s="254"/>
      <c r="C82" s="254"/>
      <c r="D82" s="254"/>
      <c r="E82" s="254"/>
      <c r="F82" s="5"/>
      <c r="G82" s="197"/>
      <c r="H82" s="24">
        <v>414000</v>
      </c>
      <c r="I82" s="239"/>
      <c r="J82" s="239"/>
    </row>
    <row r="83" spans="1:10" ht="21">
      <c r="A83" s="237">
        <v>1</v>
      </c>
      <c r="B83" s="25" t="s">
        <v>499</v>
      </c>
      <c r="C83" s="5"/>
      <c r="D83" s="5"/>
      <c r="E83" s="5"/>
      <c r="F83" s="5"/>
      <c r="G83" s="197"/>
      <c r="H83" s="24">
        <v>414001</v>
      </c>
      <c r="I83" s="239"/>
      <c r="J83" s="239"/>
    </row>
    <row r="84" spans="1:10" ht="21">
      <c r="A84" s="237">
        <v>2</v>
      </c>
      <c r="B84" s="25" t="s">
        <v>500</v>
      </c>
      <c r="C84" s="5"/>
      <c r="D84" s="5"/>
      <c r="E84" s="5"/>
      <c r="F84" s="5"/>
      <c r="G84" s="197"/>
      <c r="H84" s="24">
        <v>414004</v>
      </c>
      <c r="I84" s="239"/>
      <c r="J84" s="239"/>
    </row>
    <row r="85" spans="1:10" ht="21">
      <c r="A85" s="237">
        <v>3</v>
      </c>
      <c r="B85" s="25" t="s">
        <v>501</v>
      </c>
      <c r="C85" s="5"/>
      <c r="D85" s="5"/>
      <c r="E85" s="5"/>
      <c r="F85" s="5"/>
      <c r="G85" s="197"/>
      <c r="H85" s="24">
        <v>414006</v>
      </c>
      <c r="I85" s="239"/>
      <c r="J85" s="239"/>
    </row>
    <row r="86" spans="1:10" ht="21">
      <c r="A86" s="156"/>
      <c r="B86" s="25" t="s">
        <v>502</v>
      </c>
      <c r="C86" s="5"/>
      <c r="D86" s="5"/>
      <c r="E86" s="5"/>
      <c r="F86" s="5"/>
      <c r="G86" s="197"/>
      <c r="H86" s="108"/>
      <c r="I86" s="241"/>
      <c r="J86" s="241"/>
    </row>
    <row r="87" spans="1:10" ht="21">
      <c r="A87" s="156"/>
      <c r="B87" s="5"/>
      <c r="C87" s="5"/>
      <c r="D87" s="5"/>
      <c r="E87" s="5"/>
      <c r="F87" s="251" t="s">
        <v>68</v>
      </c>
      <c r="G87" s="197"/>
      <c r="H87" s="108"/>
      <c r="I87" s="258"/>
      <c r="J87" s="258"/>
    </row>
    <row r="88" spans="1:10" ht="21">
      <c r="A88" s="252" t="s">
        <v>503</v>
      </c>
      <c r="B88" s="254"/>
      <c r="C88" s="254"/>
      <c r="D88" s="5"/>
      <c r="E88" s="5"/>
      <c r="F88" s="5"/>
      <c r="G88" s="197"/>
      <c r="H88" s="24">
        <v>415000</v>
      </c>
      <c r="I88" s="239"/>
      <c r="J88" s="239"/>
    </row>
    <row r="89" spans="1:10" ht="21">
      <c r="A89" s="23">
        <v>1</v>
      </c>
      <c r="B89" s="25" t="s">
        <v>561</v>
      </c>
      <c r="C89" s="254"/>
      <c r="D89" s="5"/>
      <c r="E89" s="5"/>
      <c r="F89" s="5"/>
      <c r="G89" s="197"/>
      <c r="H89" s="24">
        <v>415001</v>
      </c>
      <c r="I89" s="239"/>
      <c r="J89" s="239"/>
    </row>
    <row r="90" spans="1:10" ht="21">
      <c r="A90" s="252">
        <v>2</v>
      </c>
      <c r="B90" s="25" t="s">
        <v>562</v>
      </c>
      <c r="C90" s="25"/>
      <c r="D90" s="5"/>
      <c r="E90" s="5"/>
      <c r="F90" s="5"/>
      <c r="G90" s="197"/>
      <c r="H90" s="24">
        <v>415002</v>
      </c>
      <c r="I90" s="239"/>
      <c r="J90" s="239">
        <v>100</v>
      </c>
    </row>
    <row r="91" spans="1:10" ht="21">
      <c r="A91" s="237">
        <v>3</v>
      </c>
      <c r="B91" s="25" t="s">
        <v>504</v>
      </c>
      <c r="C91" s="5"/>
      <c r="D91" s="5"/>
      <c r="E91" s="5"/>
      <c r="F91" s="5"/>
      <c r="G91" s="197"/>
      <c r="H91" s="24">
        <v>415003</v>
      </c>
      <c r="I91" s="239"/>
      <c r="J91" s="239"/>
    </row>
    <row r="92" spans="1:10" ht="21">
      <c r="A92" s="237">
        <v>4</v>
      </c>
      <c r="B92" s="25" t="s">
        <v>505</v>
      </c>
      <c r="C92" s="5"/>
      <c r="D92" s="5"/>
      <c r="E92" s="5"/>
      <c r="F92" s="5"/>
      <c r="G92" s="197"/>
      <c r="H92" s="24">
        <v>415004</v>
      </c>
      <c r="I92" s="239">
        <v>50000</v>
      </c>
      <c r="J92" s="239">
        <f>30500+9500+17000</f>
        <v>57000</v>
      </c>
    </row>
    <row r="93" spans="1:10" ht="21">
      <c r="A93" s="237">
        <v>5</v>
      </c>
      <c r="B93" s="25" t="s">
        <v>506</v>
      </c>
      <c r="C93" s="5"/>
      <c r="D93" s="5"/>
      <c r="E93" s="5"/>
      <c r="F93" s="5"/>
      <c r="G93" s="197"/>
      <c r="H93" s="24">
        <v>415005</v>
      </c>
      <c r="I93" s="239"/>
      <c r="J93" s="239"/>
    </row>
    <row r="94" spans="1:10" ht="21">
      <c r="A94" s="237">
        <v>6</v>
      </c>
      <c r="B94" s="25" t="s">
        <v>507</v>
      </c>
      <c r="C94" s="5"/>
      <c r="D94" s="5"/>
      <c r="E94" s="5"/>
      <c r="F94" s="5"/>
      <c r="G94" s="197"/>
      <c r="H94" s="24">
        <v>415006</v>
      </c>
      <c r="I94" s="239"/>
      <c r="J94" s="239"/>
    </row>
    <row r="95" spans="1:10" ht="21">
      <c r="A95" s="237">
        <v>7</v>
      </c>
      <c r="B95" s="25" t="s">
        <v>508</v>
      </c>
      <c r="C95" s="5"/>
      <c r="D95" s="5"/>
      <c r="E95" s="5"/>
      <c r="F95" s="5"/>
      <c r="G95" s="197"/>
      <c r="H95" s="24">
        <v>415007</v>
      </c>
      <c r="I95" s="239"/>
      <c r="J95" s="239"/>
    </row>
    <row r="96" spans="1:10" ht="21">
      <c r="A96" s="237">
        <v>8</v>
      </c>
      <c r="B96" s="25" t="s">
        <v>509</v>
      </c>
      <c r="C96" s="5"/>
      <c r="D96" s="5"/>
      <c r="E96" s="5"/>
      <c r="F96" s="5"/>
      <c r="G96" s="197"/>
      <c r="H96" s="24">
        <v>415008</v>
      </c>
      <c r="I96" s="239"/>
      <c r="J96" s="239"/>
    </row>
    <row r="97" spans="1:10" ht="21">
      <c r="A97" s="237">
        <v>9</v>
      </c>
      <c r="B97" s="25" t="s">
        <v>510</v>
      </c>
      <c r="C97" s="5"/>
      <c r="D97" s="5"/>
      <c r="E97" s="5"/>
      <c r="F97" s="5"/>
      <c r="G97" s="197"/>
      <c r="H97" s="24">
        <v>415999</v>
      </c>
      <c r="I97" s="241">
        <v>2000</v>
      </c>
      <c r="J97" s="241">
        <f>440</f>
        <v>440</v>
      </c>
    </row>
    <row r="98" spans="1:10" ht="21">
      <c r="A98" s="156"/>
      <c r="B98" s="5"/>
      <c r="C98" s="5"/>
      <c r="D98" s="5"/>
      <c r="E98" s="5"/>
      <c r="F98" s="251" t="s">
        <v>68</v>
      </c>
      <c r="G98" s="197"/>
      <c r="H98" s="108"/>
      <c r="I98" s="258">
        <f>SUM(I89:I97)</f>
        <v>52000</v>
      </c>
      <c r="J98" s="258">
        <f>SUM(J89:J97)</f>
        <v>57540</v>
      </c>
    </row>
    <row r="99" spans="1:10" ht="21">
      <c r="A99" s="252" t="s">
        <v>511</v>
      </c>
      <c r="B99" s="254"/>
      <c r="C99" s="254"/>
      <c r="D99" s="5"/>
      <c r="E99" s="5"/>
      <c r="F99" s="5"/>
      <c r="G99" s="197"/>
      <c r="H99" s="24">
        <v>416000</v>
      </c>
      <c r="I99" s="239"/>
      <c r="J99" s="239"/>
    </row>
    <row r="100" spans="1:10" ht="21">
      <c r="A100" s="237">
        <v>1</v>
      </c>
      <c r="B100" s="25" t="s">
        <v>512</v>
      </c>
      <c r="C100" s="5"/>
      <c r="D100" s="5"/>
      <c r="E100" s="5"/>
      <c r="F100" s="5"/>
      <c r="G100" s="197"/>
      <c r="H100" s="24">
        <v>416001</v>
      </c>
      <c r="I100" s="239"/>
      <c r="J100" s="239">
        <f>270</f>
        <v>270</v>
      </c>
    </row>
    <row r="101" spans="1:10" ht="21">
      <c r="A101" s="237">
        <v>2</v>
      </c>
      <c r="B101" s="25" t="s">
        <v>563</v>
      </c>
      <c r="C101" s="5"/>
      <c r="D101" s="5"/>
      <c r="E101" s="5"/>
      <c r="F101" s="5"/>
      <c r="G101" s="197"/>
      <c r="H101" s="24">
        <v>416999</v>
      </c>
      <c r="I101" s="241"/>
      <c r="J101" s="241"/>
    </row>
    <row r="102" spans="1:11" ht="21">
      <c r="A102" s="156"/>
      <c r="B102" s="5"/>
      <c r="C102" s="5"/>
      <c r="D102" s="5"/>
      <c r="E102" s="5"/>
      <c r="F102" s="251" t="s">
        <v>68</v>
      </c>
      <c r="G102" s="197"/>
      <c r="H102" s="108"/>
      <c r="I102" s="241">
        <f>SUM(I100:I101)</f>
        <v>0</v>
      </c>
      <c r="J102" s="258">
        <f>SUM(J100:J101)</f>
        <v>270</v>
      </c>
      <c r="K102" s="5"/>
    </row>
    <row r="103" spans="1:11" ht="21">
      <c r="A103" s="252" t="s">
        <v>513</v>
      </c>
      <c r="B103" s="254"/>
      <c r="C103" s="254"/>
      <c r="D103" s="254"/>
      <c r="E103" s="254"/>
      <c r="F103" s="254"/>
      <c r="G103" s="255"/>
      <c r="H103" s="24">
        <v>420000</v>
      </c>
      <c r="I103" s="239"/>
      <c r="J103" s="239"/>
      <c r="K103" s="5"/>
    </row>
    <row r="104" spans="1:10" ht="21">
      <c r="A104" s="237">
        <v>1</v>
      </c>
      <c r="B104" s="25" t="s">
        <v>514</v>
      </c>
      <c r="C104" s="5"/>
      <c r="D104" s="5"/>
      <c r="E104" s="5"/>
      <c r="F104" s="5"/>
      <c r="G104" s="197"/>
      <c r="H104" s="24">
        <v>421001</v>
      </c>
      <c r="I104" s="239"/>
      <c r="J104" s="239"/>
    </row>
    <row r="105" spans="1:10" ht="21">
      <c r="A105" s="237">
        <v>2</v>
      </c>
      <c r="B105" s="25" t="s">
        <v>532</v>
      </c>
      <c r="C105" s="5"/>
      <c r="D105" s="5"/>
      <c r="E105" s="5"/>
      <c r="F105" s="5"/>
      <c r="G105" s="197"/>
      <c r="H105" s="24">
        <v>421002</v>
      </c>
      <c r="I105" s="239">
        <v>8350000</v>
      </c>
      <c r="J105" s="239">
        <f>2196926.48+797518.42+1447944.72+21985.71+917985.99+1440502.54+769126.43</f>
        <v>7591990.29</v>
      </c>
    </row>
    <row r="106" spans="1:10" ht="21">
      <c r="A106" s="237">
        <v>3</v>
      </c>
      <c r="B106" s="25" t="s">
        <v>515</v>
      </c>
      <c r="C106" s="5"/>
      <c r="D106" s="5"/>
      <c r="E106" s="5"/>
      <c r="F106" s="5"/>
      <c r="G106" s="197"/>
      <c r="H106" s="24">
        <v>421003</v>
      </c>
      <c r="I106" s="239"/>
      <c r="J106" s="239"/>
    </row>
    <row r="107" spans="1:10" ht="21">
      <c r="A107" s="237">
        <v>4</v>
      </c>
      <c r="B107" s="25" t="s">
        <v>533</v>
      </c>
      <c r="C107" s="5"/>
      <c r="D107" s="5"/>
      <c r="E107" s="5"/>
      <c r="F107" s="5"/>
      <c r="G107" s="197"/>
      <c r="H107" s="24">
        <v>421004</v>
      </c>
      <c r="I107" s="239">
        <v>950000</v>
      </c>
      <c r="J107" s="239">
        <f>304177.05+114604.41+133979.3+210143.86+233349.99</f>
        <v>996254.61</v>
      </c>
    </row>
    <row r="108" spans="1:12" ht="21">
      <c r="A108" s="259">
        <v>5</v>
      </c>
      <c r="B108" s="132" t="s">
        <v>516</v>
      </c>
      <c r="C108" s="192"/>
      <c r="D108" s="192"/>
      <c r="E108" s="192"/>
      <c r="F108" s="192"/>
      <c r="G108" s="193"/>
      <c r="H108" s="34">
        <v>421005</v>
      </c>
      <c r="I108" s="241">
        <v>95000</v>
      </c>
      <c r="J108" s="241">
        <f>30017.54+10021.54+7622.72+2939.15+5038.7+18806.56</f>
        <v>74446.21</v>
      </c>
      <c r="L108">
        <v>17822.47</v>
      </c>
    </row>
    <row r="109" spans="1:12" ht="21">
      <c r="A109" s="285"/>
      <c r="B109" s="286"/>
      <c r="C109" s="286"/>
      <c r="D109" s="286"/>
      <c r="E109" s="286"/>
      <c r="F109" s="286"/>
      <c r="G109" s="287"/>
      <c r="H109" s="243" t="s">
        <v>3</v>
      </c>
      <c r="I109" s="244" t="s">
        <v>29</v>
      </c>
      <c r="J109" s="204" t="s">
        <v>453</v>
      </c>
      <c r="L109">
        <v>4827.55</v>
      </c>
    </row>
    <row r="110" spans="1:12" ht="21">
      <c r="A110" s="237">
        <v>6</v>
      </c>
      <c r="B110" s="25" t="s">
        <v>517</v>
      </c>
      <c r="C110" s="5"/>
      <c r="D110" s="5"/>
      <c r="E110" s="5"/>
      <c r="F110" s="5"/>
      <c r="G110" s="197"/>
      <c r="H110" s="24">
        <v>421006</v>
      </c>
      <c r="I110" s="239">
        <v>396000</v>
      </c>
      <c r="J110" s="239">
        <f>149688.21+71148.59+51364.88+169840.35</f>
        <v>442042.03</v>
      </c>
      <c r="L110">
        <f>SUM(L108:L109)</f>
        <v>22650.02</v>
      </c>
    </row>
    <row r="111" spans="1:10" ht="21">
      <c r="A111" s="237">
        <v>7</v>
      </c>
      <c r="B111" s="25" t="s">
        <v>518</v>
      </c>
      <c r="C111" s="5"/>
      <c r="D111" s="5"/>
      <c r="E111" s="5"/>
      <c r="F111" s="5"/>
      <c r="G111" s="197"/>
      <c r="H111" s="24">
        <v>421007</v>
      </c>
      <c r="I111" s="239">
        <v>1000000</v>
      </c>
      <c r="J111" s="239">
        <f>205710.2+80830.71+73365.84+235178.83</f>
        <v>595085.58</v>
      </c>
    </row>
    <row r="112" spans="1:10" ht="21">
      <c r="A112" s="237">
        <v>8</v>
      </c>
      <c r="B112" s="25" t="s">
        <v>519</v>
      </c>
      <c r="C112" s="5"/>
      <c r="D112" s="5"/>
      <c r="E112" s="5"/>
      <c r="F112" s="5"/>
      <c r="G112" s="197"/>
      <c r="H112" s="24">
        <v>421008</v>
      </c>
      <c r="I112" s="239"/>
      <c r="J112" s="239"/>
    </row>
    <row r="113" spans="1:10" ht="21">
      <c r="A113" s="237">
        <v>9</v>
      </c>
      <c r="B113" s="25" t="s">
        <v>528</v>
      </c>
      <c r="C113" s="5"/>
      <c r="D113" s="5"/>
      <c r="E113" s="5"/>
      <c r="F113" s="5"/>
      <c r="G113" s="197"/>
      <c r="H113" s="24">
        <v>421009</v>
      </c>
      <c r="I113" s="239"/>
      <c r="J113" s="239"/>
    </row>
    <row r="114" spans="1:10" ht="21">
      <c r="A114" s="237">
        <v>10</v>
      </c>
      <c r="B114" s="25" t="s">
        <v>564</v>
      </c>
      <c r="C114" s="5"/>
      <c r="D114" s="5"/>
      <c r="E114" s="5"/>
      <c r="F114" s="5"/>
      <c r="G114" s="197"/>
      <c r="H114" s="24">
        <v>421010</v>
      </c>
      <c r="I114" s="239"/>
      <c r="J114" s="239"/>
    </row>
    <row r="115" spans="1:10" ht="21">
      <c r="A115" s="237">
        <v>11</v>
      </c>
      <c r="B115" s="25" t="s">
        <v>529</v>
      </c>
      <c r="C115" s="5"/>
      <c r="D115" s="5"/>
      <c r="E115" s="5"/>
      <c r="F115" s="5"/>
      <c r="G115" s="197"/>
      <c r="H115" s="24">
        <v>421011</v>
      </c>
      <c r="I115" s="239"/>
      <c r="J115" s="239"/>
    </row>
    <row r="116" spans="1:10" ht="21">
      <c r="A116" s="237">
        <v>12</v>
      </c>
      <c r="B116" s="25" t="s">
        <v>520</v>
      </c>
      <c r="C116" s="5"/>
      <c r="D116" s="5"/>
      <c r="E116" s="5"/>
      <c r="F116" s="5"/>
      <c r="G116" s="197"/>
      <c r="H116" s="24">
        <v>421012</v>
      </c>
      <c r="I116" s="239">
        <v>21000</v>
      </c>
      <c r="J116" s="239">
        <v>7667.15</v>
      </c>
    </row>
    <row r="117" spans="1:10" ht="21">
      <c r="A117" s="237">
        <v>13</v>
      </c>
      <c r="B117" s="25" t="s">
        <v>521</v>
      </c>
      <c r="C117" s="5"/>
      <c r="D117" s="5"/>
      <c r="E117" s="5"/>
      <c r="F117" s="5"/>
      <c r="G117" s="197"/>
      <c r="H117" s="24">
        <v>421013</v>
      </c>
      <c r="I117" s="239">
        <v>35000</v>
      </c>
      <c r="J117" s="239">
        <f>11750.49+9744.42+10255.1+9594.72</f>
        <v>41344.73</v>
      </c>
    </row>
    <row r="118" spans="1:10" ht="21">
      <c r="A118" s="237">
        <v>14</v>
      </c>
      <c r="B118" s="25" t="s">
        <v>522</v>
      </c>
      <c r="C118" s="5"/>
      <c r="D118" s="5"/>
      <c r="E118" s="5"/>
      <c r="F118" s="5"/>
      <c r="G118" s="197"/>
      <c r="H118" s="24">
        <v>421014</v>
      </c>
      <c r="I118" s="239">
        <v>1000</v>
      </c>
      <c r="J118" s="239"/>
    </row>
    <row r="119" spans="1:10" ht="21">
      <c r="A119" s="237">
        <v>15</v>
      </c>
      <c r="B119" s="25" t="s">
        <v>530</v>
      </c>
      <c r="C119" s="5"/>
      <c r="D119" s="5"/>
      <c r="E119" s="5"/>
      <c r="F119" s="5"/>
      <c r="G119" s="197"/>
      <c r="H119" s="24">
        <v>421015</v>
      </c>
      <c r="I119" s="239">
        <v>230000</v>
      </c>
      <c r="J119" s="239">
        <f>95686+32489+6887+29279+81232+24260+13931</f>
        <v>283764</v>
      </c>
    </row>
    <row r="120" spans="1:10" ht="21">
      <c r="A120" s="237">
        <v>16</v>
      </c>
      <c r="B120" s="25" t="s">
        <v>523</v>
      </c>
      <c r="C120" s="5"/>
      <c r="D120" s="5"/>
      <c r="E120" s="5"/>
      <c r="F120" s="5"/>
      <c r="G120" s="197"/>
      <c r="H120" s="24">
        <v>421016</v>
      </c>
      <c r="I120" s="239"/>
      <c r="J120" s="239"/>
    </row>
    <row r="121" spans="1:10" ht="21">
      <c r="A121" s="237">
        <v>17</v>
      </c>
      <c r="B121" s="25" t="s">
        <v>531</v>
      </c>
      <c r="C121" s="5"/>
      <c r="D121" s="5"/>
      <c r="E121" s="5"/>
      <c r="F121" s="5"/>
      <c r="G121" s="197"/>
      <c r="H121" s="24">
        <v>421017</v>
      </c>
      <c r="I121" s="239"/>
      <c r="J121" s="239"/>
    </row>
    <row r="122" spans="1:10" ht="21">
      <c r="A122" s="237">
        <v>18</v>
      </c>
      <c r="B122" s="25" t="s">
        <v>565</v>
      </c>
      <c r="C122" s="5"/>
      <c r="D122" s="5"/>
      <c r="E122" s="5"/>
      <c r="F122" s="5"/>
      <c r="G122" s="197"/>
      <c r="H122" s="24">
        <v>421018</v>
      </c>
      <c r="I122" s="239"/>
      <c r="J122" s="239"/>
    </row>
    <row r="123" spans="1:10" ht="21">
      <c r="A123" s="237">
        <v>19</v>
      </c>
      <c r="B123" s="25" t="s">
        <v>566</v>
      </c>
      <c r="C123" s="5"/>
      <c r="D123" s="5"/>
      <c r="E123" s="5"/>
      <c r="F123" s="5"/>
      <c r="G123" s="197"/>
      <c r="H123" s="24">
        <v>421999</v>
      </c>
      <c r="I123" s="239"/>
      <c r="J123" s="239"/>
    </row>
    <row r="124" spans="1:10" ht="21">
      <c r="A124" s="156"/>
      <c r="B124" s="5"/>
      <c r="C124" s="5"/>
      <c r="D124" s="5"/>
      <c r="E124" s="5"/>
      <c r="F124" s="251" t="s">
        <v>68</v>
      </c>
      <c r="G124" s="197"/>
      <c r="H124" s="108"/>
      <c r="I124" s="277">
        <f>SUM(I104+I105+I107+I108+I110+I111+I112+I113+I114+I115+I116+I117+I118+I119+I120+I121+I122+I123)</f>
        <v>11078000</v>
      </c>
      <c r="J124" s="258">
        <f>SUM(J104+J105+J106+J107+J108+J110+J111+J112+J113+J114+J115+J116+J117+J118+J119+J120+J121+J122+J123)</f>
        <v>10032594.600000001</v>
      </c>
    </row>
    <row r="125" spans="1:10" ht="21">
      <c r="A125" s="252" t="s">
        <v>525</v>
      </c>
      <c r="B125" s="254"/>
      <c r="C125" s="254"/>
      <c r="D125" s="254"/>
      <c r="E125" s="254"/>
      <c r="F125" s="254"/>
      <c r="G125" s="197"/>
      <c r="H125" s="24">
        <v>430000</v>
      </c>
      <c r="I125" s="239"/>
      <c r="J125" s="239"/>
    </row>
    <row r="126" spans="1:10" ht="21">
      <c r="A126" s="252" t="s">
        <v>567</v>
      </c>
      <c r="B126" s="254"/>
      <c r="C126" s="254"/>
      <c r="D126" s="254"/>
      <c r="E126" s="254"/>
      <c r="F126" s="254"/>
      <c r="G126" s="197"/>
      <c r="H126" s="24">
        <v>431000</v>
      </c>
      <c r="I126" s="239"/>
      <c r="J126" s="239"/>
    </row>
    <row r="127" spans="1:10" ht="21">
      <c r="A127" s="237">
        <v>1</v>
      </c>
      <c r="B127" s="25" t="s">
        <v>568</v>
      </c>
      <c r="C127" s="5"/>
      <c r="D127" s="5"/>
      <c r="E127" s="5"/>
      <c r="F127" s="5"/>
      <c r="G127" s="197"/>
      <c r="H127" s="24">
        <v>431001</v>
      </c>
      <c r="I127" s="239"/>
      <c r="J127" s="239"/>
    </row>
    <row r="128" spans="1:10" ht="21">
      <c r="A128" s="237"/>
      <c r="B128" s="25" t="s">
        <v>526</v>
      </c>
      <c r="C128" s="5"/>
      <c r="D128" s="5"/>
      <c r="E128" s="5"/>
      <c r="F128" s="5"/>
      <c r="G128" s="197"/>
      <c r="H128" s="108"/>
      <c r="I128" s="239"/>
      <c r="J128" s="239"/>
    </row>
    <row r="129" spans="1:10" ht="21">
      <c r="A129" s="237">
        <v>2</v>
      </c>
      <c r="B129" s="25" t="s">
        <v>570</v>
      </c>
      <c r="C129" s="5"/>
      <c r="D129" s="5"/>
      <c r="E129" s="5"/>
      <c r="F129" s="5"/>
      <c r="G129" s="197"/>
      <c r="H129" s="24">
        <v>431002</v>
      </c>
      <c r="I129" s="239">
        <v>4232230</v>
      </c>
      <c r="J129" s="239">
        <f>4182110</f>
        <v>4182110</v>
      </c>
    </row>
    <row r="130" spans="1:10" ht="21">
      <c r="A130" s="237"/>
      <c r="B130" s="25" t="s">
        <v>569</v>
      </c>
      <c r="C130" s="5"/>
      <c r="D130" s="5"/>
      <c r="E130" s="5"/>
      <c r="F130" s="5"/>
      <c r="G130" s="197"/>
      <c r="H130" s="108"/>
      <c r="I130" s="241"/>
      <c r="J130" s="241"/>
    </row>
    <row r="131" spans="1:10" ht="21">
      <c r="A131" s="156"/>
      <c r="B131" s="5"/>
      <c r="C131" s="5"/>
      <c r="D131" s="5"/>
      <c r="E131" s="5"/>
      <c r="F131" s="251" t="s">
        <v>68</v>
      </c>
      <c r="G131" s="197"/>
      <c r="H131" s="108"/>
      <c r="I131" s="258">
        <f>SUM(I127:I129)</f>
        <v>4232230</v>
      </c>
      <c r="J131" s="258">
        <f>SUM(J127:J130)</f>
        <v>4182110</v>
      </c>
    </row>
    <row r="132" spans="1:10" ht="21">
      <c r="A132" s="252" t="s">
        <v>527</v>
      </c>
      <c r="B132" s="254"/>
      <c r="C132" s="254"/>
      <c r="D132" s="254"/>
      <c r="E132" s="254"/>
      <c r="F132" s="254"/>
      <c r="G132" s="197"/>
      <c r="H132" s="108">
        <v>440000</v>
      </c>
      <c r="I132" s="239"/>
      <c r="J132" s="239"/>
    </row>
    <row r="133" spans="1:10" ht="21">
      <c r="A133" s="252" t="s">
        <v>571</v>
      </c>
      <c r="B133" s="254"/>
      <c r="C133" s="254"/>
      <c r="D133" s="254"/>
      <c r="E133" s="254"/>
      <c r="F133" s="254"/>
      <c r="G133" s="197"/>
      <c r="H133" s="108"/>
      <c r="I133" s="239"/>
      <c r="J133" s="239"/>
    </row>
    <row r="134" spans="1:10" ht="21">
      <c r="A134" s="252" t="s">
        <v>572</v>
      </c>
      <c r="B134" s="254"/>
      <c r="C134" s="254"/>
      <c r="D134" s="254"/>
      <c r="E134" s="254"/>
      <c r="F134" s="254"/>
      <c r="G134" s="197"/>
      <c r="H134" s="108">
        <v>441000</v>
      </c>
      <c r="I134" s="239"/>
      <c r="J134" s="239"/>
    </row>
    <row r="135" spans="1:10" ht="21">
      <c r="A135" s="237">
        <v>1</v>
      </c>
      <c r="B135" s="25" t="s">
        <v>573</v>
      </c>
      <c r="C135" s="5"/>
      <c r="D135" s="5"/>
      <c r="E135" s="5"/>
      <c r="F135" s="5"/>
      <c r="G135" s="197"/>
      <c r="H135" s="108">
        <v>441001</v>
      </c>
      <c r="I135" s="239"/>
      <c r="J135" s="239">
        <f>60000+45000+1980+15000+24450+48900+24450+52700</f>
        <v>272480</v>
      </c>
    </row>
    <row r="136" spans="1:10" ht="21">
      <c r="A136" s="237">
        <v>2</v>
      </c>
      <c r="B136" s="25" t="s">
        <v>574</v>
      </c>
      <c r="C136" s="5"/>
      <c r="D136" s="5"/>
      <c r="E136" s="5"/>
      <c r="F136" s="5"/>
      <c r="G136" s="197"/>
      <c r="H136" s="108">
        <v>441002</v>
      </c>
      <c r="I136" s="239"/>
      <c r="J136" s="239">
        <f>1148500+1945200+306000+1945200</f>
        <v>5344900</v>
      </c>
    </row>
    <row r="137" spans="1:10" ht="21">
      <c r="A137" s="156"/>
      <c r="B137" s="25" t="s">
        <v>575</v>
      </c>
      <c r="C137" s="5"/>
      <c r="D137" s="5"/>
      <c r="E137" s="5"/>
      <c r="F137" s="251"/>
      <c r="G137" s="197"/>
      <c r="H137" s="108">
        <v>499999</v>
      </c>
      <c r="I137" s="241"/>
      <c r="J137" s="241"/>
    </row>
    <row r="138" spans="1:12" ht="21">
      <c r="A138" s="156"/>
      <c r="B138" s="5"/>
      <c r="C138" s="5"/>
      <c r="D138" s="5"/>
      <c r="E138" s="5"/>
      <c r="F138" s="251" t="s">
        <v>68</v>
      </c>
      <c r="G138" s="197"/>
      <c r="H138" s="108"/>
      <c r="I138" s="258">
        <f>SUM(I134:I137)</f>
        <v>0</v>
      </c>
      <c r="J138" s="258">
        <f>SUM(J135:J137)</f>
        <v>5617380</v>
      </c>
      <c r="L138">
        <v>4342830</v>
      </c>
    </row>
    <row r="139" spans="1:12" ht="21">
      <c r="A139" s="256"/>
      <c r="B139" s="192"/>
      <c r="C139" s="192"/>
      <c r="D139" s="192"/>
      <c r="E139" s="192"/>
      <c r="F139" s="257" t="s">
        <v>576</v>
      </c>
      <c r="G139" s="193"/>
      <c r="H139" s="242"/>
      <c r="I139" s="278">
        <f>SUM(I131+I124+I98+I81+I72+I16)</f>
        <v>15510930</v>
      </c>
      <c r="J139" s="52">
        <f>SUM(J138+J131+J124+J102+J98+J81+J16+J72)</f>
        <v>20105667.450000003</v>
      </c>
      <c r="L139" s="201">
        <v>9944006.43</v>
      </c>
    </row>
    <row r="140" spans="10:12" ht="21">
      <c r="J140" s="236"/>
      <c r="L140">
        <v>1148500</v>
      </c>
    </row>
    <row r="141" ht="21">
      <c r="L141" s="201">
        <f>SUM(L138:L140)</f>
        <v>15435336.43</v>
      </c>
    </row>
  </sheetData>
  <sheetProtection/>
  <mergeCells count="12">
    <mergeCell ref="A4:K4"/>
    <mergeCell ref="A5:G5"/>
    <mergeCell ref="A109:G109"/>
    <mergeCell ref="I1:J1"/>
    <mergeCell ref="B8:G8"/>
    <mergeCell ref="B9:G9"/>
    <mergeCell ref="A6:G6"/>
    <mergeCell ref="A7:G7"/>
    <mergeCell ref="A37:G37"/>
    <mergeCell ref="A73:G73"/>
    <mergeCell ref="A2:K2"/>
    <mergeCell ref="A3:K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</cp:lastModifiedBy>
  <cp:lastPrinted>2014-08-05T08:35:36Z</cp:lastPrinted>
  <dcterms:created xsi:type="dcterms:W3CDTF">2006-11-09T18:54:20Z</dcterms:created>
  <dcterms:modified xsi:type="dcterms:W3CDTF">2014-08-05T08:36:44Z</dcterms:modified>
  <cp:category/>
  <cp:version/>
  <cp:contentType/>
  <cp:contentStatus/>
</cp:coreProperties>
</file>